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Y3191\Desktop\一時保管\20240601公開\"/>
    </mc:Choice>
  </mc:AlternateContent>
  <bookViews>
    <workbookView xWindow="14430" yWindow="-270" windowWidth="14340" windowHeight="13140"/>
  </bookViews>
  <sheets>
    <sheet name="入力" sheetId="3" r:id="rId1"/>
    <sheet name="計算" sheetId="4" state="hidden" r:id="rId2"/>
    <sheet name="税率・条件" sheetId="2" state="hidden" r:id="rId3"/>
    <sheet name="Sheet1" sheetId="6" state="hidden" r:id="rId4"/>
  </sheets>
  <definedNames>
    <definedName name="_xlnm.Print_Area" localSheetId="1">計算!$A$1:$AW$80</definedName>
    <definedName name="_xlnm.Print_Area" localSheetId="0">入力!$A$2</definedName>
    <definedName name="高崎市全体">入力!$C$15</definedName>
  </definedNames>
  <calcPr calcId="162913"/>
</workbook>
</file>

<file path=xl/calcChain.xml><?xml version="1.0" encoding="utf-8"?>
<calcChain xmlns="http://schemas.openxmlformats.org/spreadsheetml/2006/main">
  <c r="F169" i="6" l="1"/>
  <c r="E169" i="6"/>
  <c r="D169" i="6"/>
  <c r="F168" i="6"/>
  <c r="E168" i="6"/>
  <c r="D168" i="6"/>
  <c r="M167" i="6"/>
  <c r="H167" i="6"/>
  <c r="F167" i="6"/>
  <c r="P167" i="6" s="1"/>
  <c r="E167" i="6"/>
  <c r="O167" i="6" s="1"/>
  <c r="D167" i="6"/>
  <c r="N167" i="6" s="1"/>
  <c r="F166" i="6"/>
  <c r="E166" i="6"/>
  <c r="D166" i="6"/>
  <c r="M165" i="6"/>
  <c r="H165" i="6"/>
  <c r="F165" i="6"/>
  <c r="P165" i="6" s="1"/>
  <c r="E165" i="6"/>
  <c r="O165" i="6" s="1"/>
  <c r="D165" i="6"/>
  <c r="N165" i="6" s="1"/>
  <c r="F164" i="6"/>
  <c r="E164" i="6"/>
  <c r="D164" i="6"/>
  <c r="I165" i="6" l="1"/>
  <c r="K167" i="6"/>
  <c r="J165" i="6"/>
  <c r="K165" i="6"/>
  <c r="I167" i="6"/>
  <c r="J167" i="6"/>
  <c r="X66" i="4"/>
  <c r="X52" i="4"/>
  <c r="T1" i="4" l="1"/>
  <c r="AU19" i="4" l="1"/>
  <c r="AU18" i="4"/>
  <c r="AT19" i="4"/>
  <c r="AT18" i="4"/>
  <c r="AS19" i="4"/>
  <c r="AS18" i="4"/>
  <c r="AR19" i="4"/>
  <c r="AR18" i="4"/>
  <c r="AQ19" i="4"/>
  <c r="AQ18" i="4"/>
  <c r="AP19" i="4"/>
  <c r="AP18" i="4"/>
  <c r="AO19" i="4"/>
  <c r="AO18" i="4"/>
  <c r="AN19" i="4"/>
  <c r="AN18" i="4"/>
  <c r="AM19" i="4"/>
  <c r="AM18" i="4"/>
  <c r="AL19" i="4"/>
  <c r="AL18" i="4"/>
  <c r="AK19" i="4"/>
  <c r="AK18" i="4"/>
  <c r="AJ19" i="4"/>
  <c r="AJ18" i="4"/>
  <c r="AU17" i="4"/>
  <c r="AU16" i="4"/>
  <c r="AT17" i="4"/>
  <c r="AT16" i="4"/>
  <c r="AS17" i="4"/>
  <c r="AS16" i="4"/>
  <c r="AR17" i="4"/>
  <c r="AR16" i="4"/>
  <c r="AQ17" i="4"/>
  <c r="AQ16" i="4"/>
  <c r="AP17" i="4"/>
  <c r="AP16" i="4"/>
  <c r="AO17" i="4"/>
  <c r="AO16" i="4"/>
  <c r="AN17" i="4"/>
  <c r="AN16" i="4"/>
  <c r="AM17" i="4"/>
  <c r="AM16" i="4"/>
  <c r="AL17" i="4"/>
  <c r="AL16" i="4"/>
  <c r="AK17" i="4"/>
  <c r="AK16" i="4"/>
  <c r="AJ17" i="4"/>
  <c r="AJ16" i="4"/>
  <c r="AU15" i="4"/>
  <c r="AU14" i="4"/>
  <c r="AT15" i="4"/>
  <c r="AT14" i="4"/>
  <c r="AS15" i="4"/>
  <c r="AS14" i="4"/>
  <c r="AR15" i="4"/>
  <c r="AR14" i="4"/>
  <c r="AQ15" i="4"/>
  <c r="AQ14" i="4"/>
  <c r="AP15" i="4"/>
  <c r="AP14" i="4"/>
  <c r="AO15" i="4"/>
  <c r="AO14" i="4"/>
  <c r="AN15" i="4"/>
  <c r="AN14" i="4"/>
  <c r="AM15" i="4"/>
  <c r="AM14" i="4"/>
  <c r="AL15" i="4"/>
  <c r="AL14" i="4"/>
  <c r="AK15" i="4"/>
  <c r="AK14" i="4"/>
  <c r="AJ15" i="4"/>
  <c r="AJ14" i="4"/>
  <c r="AU13" i="4"/>
  <c r="AU12" i="4"/>
  <c r="AT13" i="4"/>
  <c r="AT12" i="4"/>
  <c r="AS13" i="4"/>
  <c r="AS12" i="4"/>
  <c r="AR13" i="4"/>
  <c r="AR12" i="4"/>
  <c r="AQ13" i="4"/>
  <c r="AQ12" i="4"/>
  <c r="AP13" i="4"/>
  <c r="AP12" i="4"/>
  <c r="AO13" i="4"/>
  <c r="AO12" i="4"/>
  <c r="AN13" i="4"/>
  <c r="AN12" i="4"/>
  <c r="AM13" i="4"/>
  <c r="AM12" i="4"/>
  <c r="AL13" i="4"/>
  <c r="AL12" i="4"/>
  <c r="AK13" i="4"/>
  <c r="AK12" i="4"/>
  <c r="AJ13" i="4"/>
  <c r="AJ12" i="4"/>
  <c r="AU11" i="4"/>
  <c r="AU10" i="4"/>
  <c r="AT11" i="4"/>
  <c r="AT10" i="4"/>
  <c r="AS11" i="4"/>
  <c r="AS10" i="4"/>
  <c r="AR11" i="4"/>
  <c r="AR10" i="4"/>
  <c r="AQ11" i="4"/>
  <c r="AQ10" i="4"/>
  <c r="AP11" i="4"/>
  <c r="AP10" i="4"/>
  <c r="AO11" i="4"/>
  <c r="AO10" i="4"/>
  <c r="AN11" i="4"/>
  <c r="AN10" i="4"/>
  <c r="AM11" i="4"/>
  <c r="AM10" i="4"/>
  <c r="AL11" i="4"/>
  <c r="AL10" i="4"/>
  <c r="AK11" i="4"/>
  <c r="AK10" i="4"/>
  <c r="AJ11" i="4"/>
  <c r="AJ10" i="4"/>
  <c r="AU9" i="4"/>
  <c r="AU8" i="4"/>
  <c r="AT9" i="4"/>
  <c r="AT8" i="4"/>
  <c r="AS9" i="4"/>
  <c r="AS8" i="4"/>
  <c r="AR9" i="4"/>
  <c r="AR8" i="4"/>
  <c r="AQ9" i="4"/>
  <c r="AQ8" i="4"/>
  <c r="AP9" i="4"/>
  <c r="AP8" i="4"/>
  <c r="AO9" i="4"/>
  <c r="AO8" i="4"/>
  <c r="AN9" i="4"/>
  <c r="AN8" i="4"/>
  <c r="AM9" i="4"/>
  <c r="AM8" i="4"/>
  <c r="AL9" i="4"/>
  <c r="AL8" i="4"/>
  <c r="AK9" i="4"/>
  <c r="AK8" i="4"/>
  <c r="AJ9" i="4"/>
  <c r="AJ8" i="4"/>
  <c r="AU7" i="4" l="1"/>
  <c r="AU6" i="4"/>
  <c r="AT6" i="4"/>
  <c r="AT7" i="4"/>
  <c r="AS7" i="4"/>
  <c r="AS6" i="4"/>
  <c r="AR7" i="4"/>
  <c r="AR6" i="4"/>
  <c r="AQ7" i="4"/>
  <c r="AQ6" i="4"/>
  <c r="AP6" i="4"/>
  <c r="AP7" i="4"/>
  <c r="AO7" i="4"/>
  <c r="AO6" i="4"/>
  <c r="AN6" i="4"/>
  <c r="AN7" i="4"/>
  <c r="AM7" i="4"/>
  <c r="AM6" i="4"/>
  <c r="AL6" i="4"/>
  <c r="AL7" i="4"/>
  <c r="AK7" i="4"/>
  <c r="AK6" i="4"/>
  <c r="AJ7" i="4"/>
  <c r="AJ6" i="4"/>
  <c r="AU5" i="4"/>
  <c r="AT5" i="4"/>
  <c r="AS5" i="4"/>
  <c r="AR5" i="4"/>
  <c r="AQ5" i="4"/>
  <c r="AP5" i="4"/>
  <c r="AO5" i="4"/>
  <c r="AN5" i="4"/>
  <c r="AM5" i="4"/>
  <c r="AL5" i="4"/>
  <c r="AK5" i="4"/>
  <c r="AJ5" i="4"/>
  <c r="AU4" i="4"/>
  <c r="AT4" i="4"/>
  <c r="AS4" i="4"/>
  <c r="AR4" i="4"/>
  <c r="AQ4" i="4"/>
  <c r="AP4" i="4"/>
  <c r="AO4" i="4"/>
  <c r="AN4" i="4"/>
  <c r="AM4" i="4"/>
  <c r="AL4" i="4"/>
  <c r="AK4" i="4"/>
  <c r="AJ4" i="4"/>
  <c r="P23" i="4" l="1"/>
  <c r="X23" i="4" l="1"/>
  <c r="B8" i="3" l="1"/>
  <c r="X38" i="4" l="1"/>
  <c r="BH15" i="4" l="1"/>
  <c r="BA15" i="4"/>
  <c r="BE15" i="4"/>
  <c r="BI15" i="4"/>
  <c r="BD15" i="4"/>
  <c r="BB15" i="4"/>
  <c r="BF15" i="4"/>
  <c r="BJ15" i="4"/>
  <c r="AZ15" i="4"/>
  <c r="BC15" i="4"/>
  <c r="BG15" i="4"/>
  <c r="BK15" i="4"/>
  <c r="BB10" i="4"/>
  <c r="BB5" i="4"/>
  <c r="AZ5" i="4"/>
  <c r="AZ10" i="4"/>
  <c r="BD10" i="4"/>
  <c r="BD5" i="4"/>
  <c r="BH5" i="4"/>
  <c r="BH10" i="4"/>
  <c r="BA5" i="4"/>
  <c r="BA10" i="4"/>
  <c r="BE5" i="4"/>
  <c r="BE10" i="4"/>
  <c r="BI5" i="4"/>
  <c r="BI10" i="4"/>
  <c r="BJ10" i="4"/>
  <c r="BJ5" i="4"/>
  <c r="BF10" i="4"/>
  <c r="BF5" i="4"/>
  <c r="BC10" i="4"/>
  <c r="BC5" i="4"/>
  <c r="BG10" i="4"/>
  <c r="BG5" i="4"/>
  <c r="BK10" i="4"/>
  <c r="BK5" i="4"/>
  <c r="AJ22" i="4"/>
  <c r="AK22" i="4"/>
  <c r="AO22" i="4"/>
  <c r="AS22" i="4"/>
  <c r="AL22" i="4"/>
  <c r="AP22" i="4"/>
  <c r="AT22" i="4"/>
  <c r="AM22" i="4"/>
  <c r="AQ22" i="4"/>
  <c r="AU22" i="4"/>
  <c r="AN22" i="4"/>
  <c r="AR22" i="4"/>
  <c r="AI10" i="4"/>
  <c r="AI11" i="4"/>
  <c r="AI17" i="4"/>
  <c r="AI19" i="4"/>
  <c r="AI16" i="4"/>
  <c r="AI13" i="4"/>
  <c r="AI12" i="4"/>
  <c r="AI15" i="4"/>
  <c r="AI14" i="4"/>
  <c r="AI18" i="4"/>
  <c r="AI8" i="4"/>
  <c r="AI9" i="4"/>
  <c r="AI7" i="4"/>
  <c r="AI5" i="4"/>
  <c r="AI6" i="4"/>
  <c r="AP20" i="4"/>
  <c r="AI4" i="4"/>
  <c r="AL20" i="4"/>
  <c r="AM21" i="4"/>
  <c r="AQ21" i="4"/>
  <c r="AU21" i="4"/>
  <c r="AJ20" i="4"/>
  <c r="AN20" i="4"/>
  <c r="AR20" i="4"/>
  <c r="AK21" i="4"/>
  <c r="AO21" i="4"/>
  <c r="AS21" i="4"/>
  <c r="AT20" i="4"/>
  <c r="AL21" i="4"/>
  <c r="AP21" i="4"/>
  <c r="AT21" i="4"/>
  <c r="AJ21" i="4"/>
  <c r="AR21" i="4"/>
  <c r="AQ20" i="4"/>
  <c r="AU20" i="4"/>
  <c r="AN21" i="4"/>
  <c r="AM20" i="4"/>
  <c r="AK20" i="4"/>
  <c r="AO20" i="4"/>
  <c r="AS20" i="4"/>
  <c r="AI20" i="4" l="1"/>
  <c r="AW22" i="4"/>
  <c r="M25" i="4" s="1"/>
  <c r="BL15" i="4"/>
  <c r="BM15" i="4" s="1"/>
  <c r="BL10" i="4"/>
  <c r="BM10" i="4" s="1"/>
  <c r="BL5" i="4"/>
  <c r="BM5" i="4" s="1"/>
  <c r="AW8" i="4"/>
  <c r="AW16" i="4"/>
  <c r="AW10" i="4"/>
  <c r="AW14" i="4"/>
  <c r="AW12" i="4"/>
  <c r="AW6" i="4"/>
  <c r="AW18" i="4"/>
  <c r="S16" i="3"/>
  <c r="AD23" i="3"/>
  <c r="AC23" i="3"/>
  <c r="AB23" i="3"/>
  <c r="AA23" i="3"/>
  <c r="Z23" i="3"/>
  <c r="Y23" i="3"/>
  <c r="X23" i="3"/>
  <c r="W23" i="3"/>
  <c r="V23" i="3"/>
  <c r="U23" i="3"/>
  <c r="T23" i="3"/>
  <c r="S23" i="3"/>
  <c r="AD22" i="3"/>
  <c r="AC22" i="3"/>
  <c r="AB22" i="3"/>
  <c r="AA22" i="3"/>
  <c r="Z22" i="3"/>
  <c r="Y22" i="3"/>
  <c r="X22" i="3"/>
  <c r="W22" i="3"/>
  <c r="V22" i="3"/>
  <c r="U22" i="3"/>
  <c r="T22" i="3"/>
  <c r="S22" i="3"/>
  <c r="AD21" i="3"/>
  <c r="AC21" i="3"/>
  <c r="AB21" i="3"/>
  <c r="AA21" i="3"/>
  <c r="Z21" i="3"/>
  <c r="Y21" i="3"/>
  <c r="X21" i="3"/>
  <c r="W21" i="3"/>
  <c r="V21" i="3"/>
  <c r="U21" i="3"/>
  <c r="T21" i="3"/>
  <c r="S21" i="3"/>
  <c r="AD20" i="3"/>
  <c r="AC20" i="3"/>
  <c r="AB20" i="3"/>
  <c r="AA20" i="3"/>
  <c r="Z20" i="3"/>
  <c r="Y20" i="3"/>
  <c r="X20" i="3"/>
  <c r="W20" i="3"/>
  <c r="V20" i="3"/>
  <c r="U20" i="3"/>
  <c r="T20" i="3"/>
  <c r="S20" i="3"/>
  <c r="AD19" i="3"/>
  <c r="AC19" i="3"/>
  <c r="AB19" i="3"/>
  <c r="AA19" i="3"/>
  <c r="Z19" i="3"/>
  <c r="Y19" i="3"/>
  <c r="X19" i="3"/>
  <c r="W19" i="3"/>
  <c r="V19" i="3"/>
  <c r="U19" i="3"/>
  <c r="T19" i="3"/>
  <c r="S19" i="3"/>
  <c r="AD18" i="3"/>
  <c r="AC18" i="3"/>
  <c r="AB18" i="3"/>
  <c r="AA18" i="3"/>
  <c r="Z18" i="3"/>
  <c r="Y18" i="3"/>
  <c r="X18" i="3"/>
  <c r="W18" i="3"/>
  <c r="V18" i="3"/>
  <c r="U18" i="3"/>
  <c r="T18" i="3"/>
  <c r="S18" i="3"/>
  <c r="AD17" i="3"/>
  <c r="AC17" i="3"/>
  <c r="AB17" i="3"/>
  <c r="AA17" i="3"/>
  <c r="Z17" i="3"/>
  <c r="X17" i="3"/>
  <c r="W17" i="3"/>
  <c r="V17" i="3"/>
  <c r="U17" i="3"/>
  <c r="T17" i="3"/>
  <c r="S17" i="3"/>
  <c r="Y17" i="3" l="1"/>
  <c r="T16" i="3"/>
  <c r="X16" i="3"/>
  <c r="AB16" i="3"/>
  <c r="U16" i="3"/>
  <c r="Y16" i="3"/>
  <c r="V16" i="3"/>
  <c r="Z16" i="3"/>
  <c r="AD16" i="3"/>
  <c r="W16" i="3"/>
  <c r="AA16" i="3"/>
  <c r="AC16" i="3"/>
  <c r="O22" i="3"/>
  <c r="O23" i="3" l="1"/>
  <c r="O21" i="3"/>
  <c r="O19" i="3"/>
  <c r="O18" i="3"/>
  <c r="O17" i="3"/>
  <c r="O16" i="3"/>
  <c r="O20" i="3"/>
  <c r="O15" i="3" l="1"/>
  <c r="Q23" i="3" l="1"/>
  <c r="Q22" i="3"/>
  <c r="Q21" i="3"/>
  <c r="AE14" i="4" l="1"/>
  <c r="AE16" i="4"/>
  <c r="AE18" i="4"/>
  <c r="Q20" i="3"/>
  <c r="Q18" i="3"/>
  <c r="Q19" i="3"/>
  <c r="AE12" i="4" l="1"/>
  <c r="AE10" i="4"/>
  <c r="AE8" i="4"/>
  <c r="Q17" i="3" l="1"/>
  <c r="I18" i="4"/>
  <c r="J18" i="4" s="1"/>
  <c r="I16" i="4"/>
  <c r="J16" i="4" s="1"/>
  <c r="I14" i="4"/>
  <c r="J14" i="4" s="1"/>
  <c r="I12" i="4"/>
  <c r="J12" i="4" s="1"/>
  <c r="I10" i="4"/>
  <c r="J10" i="4" s="1"/>
  <c r="I8" i="4"/>
  <c r="J8" i="4" s="1"/>
  <c r="B18" i="4"/>
  <c r="N23" i="3" s="1"/>
  <c r="B16" i="4"/>
  <c r="N22" i="3" s="1"/>
  <c r="B14" i="4"/>
  <c r="N21" i="3" s="1"/>
  <c r="B12" i="4"/>
  <c r="N20" i="3" s="1"/>
  <c r="B10" i="4"/>
  <c r="N19" i="3" s="1"/>
  <c r="B8" i="4"/>
  <c r="N18" i="3" s="1"/>
  <c r="B6" i="4"/>
  <c r="I6" i="4" s="1"/>
  <c r="J6" i="4" s="1"/>
  <c r="B4" i="4"/>
  <c r="I4" i="4" s="1"/>
  <c r="J4" i="4" s="1"/>
  <c r="P23" i="3"/>
  <c r="P22" i="3"/>
  <c r="P20" i="3"/>
  <c r="P19" i="3"/>
  <c r="P18" i="3"/>
  <c r="E15" i="3"/>
  <c r="N17" i="3" l="1"/>
  <c r="Z18" i="4"/>
  <c r="U18" i="4"/>
  <c r="Z10" i="4"/>
  <c r="U10" i="4"/>
  <c r="U12" i="4"/>
  <c r="Z12" i="4"/>
  <c r="Z16" i="4"/>
  <c r="U16" i="4"/>
  <c r="Z8" i="4"/>
  <c r="U8" i="4"/>
  <c r="AE6" i="4"/>
  <c r="P17" i="3"/>
  <c r="P21" i="3"/>
  <c r="P16" i="3"/>
  <c r="H25" i="3" l="1"/>
  <c r="Z14" i="4"/>
  <c r="U14" i="4"/>
  <c r="Z6" i="4"/>
  <c r="U6" i="4"/>
  <c r="Z4" i="4"/>
  <c r="U4" i="4"/>
  <c r="AW20" i="4"/>
  <c r="AI21" i="4"/>
  <c r="Q16" i="3"/>
  <c r="N16" i="3" s="1"/>
  <c r="E48" i="3" l="1"/>
  <c r="AE4" i="4"/>
  <c r="U24" i="3"/>
  <c r="AW4" i="4"/>
  <c r="A4" i="4"/>
  <c r="E17" i="3"/>
  <c r="E20" i="3" l="1"/>
  <c r="A12" i="4" s="1"/>
  <c r="E23" i="3"/>
  <c r="A18" i="4" s="1"/>
  <c r="E19" i="3"/>
  <c r="A10" i="4" s="1"/>
  <c r="E22" i="3"/>
  <c r="A16" i="4" s="1"/>
  <c r="E18" i="3"/>
  <c r="A8" i="4" s="1"/>
  <c r="E21" i="3"/>
  <c r="A14" i="4" s="1"/>
  <c r="A6" i="4"/>
  <c r="D33" i="4" l="1"/>
  <c r="J35" i="4"/>
  <c r="J34" i="4"/>
  <c r="J33" i="4"/>
  <c r="J32" i="4"/>
  <c r="J31" i="4"/>
  <c r="J30" i="4"/>
  <c r="J29" i="4"/>
  <c r="J28" i="4"/>
  <c r="J27" i="4"/>
  <c r="J26" i="4"/>
  <c r="J25" i="4"/>
  <c r="I35" i="4"/>
  <c r="I34" i="4"/>
  <c r="I33" i="4"/>
  <c r="I32" i="4"/>
  <c r="I31" i="4"/>
  <c r="I30" i="4"/>
  <c r="I29" i="4"/>
  <c r="I28" i="4"/>
  <c r="I27" i="4"/>
  <c r="I26" i="4"/>
  <c r="I25" i="4"/>
  <c r="H35" i="4"/>
  <c r="H34" i="4"/>
  <c r="H33" i="4"/>
  <c r="H32" i="4"/>
  <c r="H31" i="4"/>
  <c r="H30" i="4"/>
  <c r="H29" i="4"/>
  <c r="H28" i="4"/>
  <c r="H27" i="4"/>
  <c r="H26" i="4"/>
  <c r="D14" i="4" s="1"/>
  <c r="H25" i="4"/>
  <c r="G35" i="4"/>
  <c r="G34" i="4"/>
  <c r="G33" i="4"/>
  <c r="G32" i="4"/>
  <c r="G31" i="4"/>
  <c r="G30" i="4"/>
  <c r="G29" i="4"/>
  <c r="G28" i="4"/>
  <c r="G27" i="4"/>
  <c r="G26" i="4"/>
  <c r="D12" i="4" s="1"/>
  <c r="G25" i="4"/>
  <c r="F35" i="4"/>
  <c r="F34" i="4"/>
  <c r="F33" i="4"/>
  <c r="F32" i="4"/>
  <c r="F31" i="4"/>
  <c r="F30" i="4"/>
  <c r="F29" i="4"/>
  <c r="F28" i="4"/>
  <c r="F27" i="4"/>
  <c r="F26" i="4"/>
  <c r="D10" i="4" s="1"/>
  <c r="F25" i="4"/>
  <c r="E35" i="4"/>
  <c r="E34" i="4"/>
  <c r="E33" i="4"/>
  <c r="E32" i="4"/>
  <c r="E31" i="4"/>
  <c r="E30" i="4"/>
  <c r="E29" i="4"/>
  <c r="E28" i="4"/>
  <c r="E27" i="4"/>
  <c r="E26" i="4"/>
  <c r="E25" i="4"/>
  <c r="D35" i="4"/>
  <c r="D34" i="4"/>
  <c r="D31" i="4"/>
  <c r="D30" i="4"/>
  <c r="D27" i="4"/>
  <c r="D26" i="4"/>
  <c r="C26" i="4"/>
  <c r="C35" i="4"/>
  <c r="C34" i="4"/>
  <c r="C33" i="4"/>
  <c r="C32" i="4"/>
  <c r="C31" i="4"/>
  <c r="C30" i="4"/>
  <c r="C29" i="4"/>
  <c r="C28" i="4"/>
  <c r="C27" i="4"/>
  <c r="C25" i="4"/>
  <c r="D18" i="4" l="1"/>
  <c r="C18" i="4" s="1"/>
  <c r="D8" i="4"/>
  <c r="G12" i="4"/>
  <c r="H12" i="4"/>
  <c r="G10" i="4"/>
  <c r="H10" i="4" s="1"/>
  <c r="H14" i="4"/>
  <c r="G14" i="4"/>
  <c r="D16" i="4"/>
  <c r="D4" i="4"/>
  <c r="C14" i="4"/>
  <c r="C12" i="4"/>
  <c r="D28" i="4"/>
  <c r="D32" i="4"/>
  <c r="D6" i="4" s="1"/>
  <c r="D25" i="4"/>
  <c r="D29" i="4"/>
  <c r="F161" i="6"/>
  <c r="E161" i="6"/>
  <c r="D161" i="6"/>
  <c r="F160" i="6"/>
  <c r="E160" i="6"/>
  <c r="D160" i="6"/>
  <c r="M159" i="6"/>
  <c r="H159" i="6"/>
  <c r="F159" i="6"/>
  <c r="K159" i="6" s="1"/>
  <c r="E159" i="6"/>
  <c r="O159" i="6" s="1"/>
  <c r="D159" i="6"/>
  <c r="N159" i="6" s="1"/>
  <c r="F158" i="6"/>
  <c r="E158" i="6"/>
  <c r="D158" i="6"/>
  <c r="M157" i="6"/>
  <c r="H157" i="6"/>
  <c r="F157" i="6"/>
  <c r="P157" i="6" s="1"/>
  <c r="E157" i="6"/>
  <c r="O157" i="6" s="1"/>
  <c r="D157" i="6"/>
  <c r="I157" i="6" s="1"/>
  <c r="F156" i="6"/>
  <c r="E156" i="6"/>
  <c r="D156" i="6"/>
  <c r="C16" i="4" l="1"/>
  <c r="G16" i="4"/>
  <c r="H16" i="4" s="1"/>
  <c r="C4" i="4"/>
  <c r="C8" i="4"/>
  <c r="C10" i="4"/>
  <c r="C6" i="4"/>
  <c r="J159" i="6"/>
  <c r="P159" i="6"/>
  <c r="N157" i="6"/>
  <c r="J157" i="6"/>
  <c r="K157" i="6"/>
  <c r="I159" i="6"/>
  <c r="F26" i="3"/>
  <c r="F153" i="6" l="1"/>
  <c r="E153" i="6"/>
  <c r="D153" i="6"/>
  <c r="F152" i="6"/>
  <c r="E152" i="6"/>
  <c r="D152" i="6"/>
  <c r="M151" i="6"/>
  <c r="H151" i="6"/>
  <c r="F151" i="6"/>
  <c r="P151" i="6" s="1"/>
  <c r="E151" i="6"/>
  <c r="O151" i="6" s="1"/>
  <c r="D151" i="6"/>
  <c r="N151" i="6" s="1"/>
  <c r="F150" i="6"/>
  <c r="E150" i="6"/>
  <c r="D150" i="6"/>
  <c r="M149" i="6"/>
  <c r="H149" i="6"/>
  <c r="F149" i="6"/>
  <c r="P149" i="6" s="1"/>
  <c r="E149" i="6"/>
  <c r="O149" i="6" s="1"/>
  <c r="D149" i="6"/>
  <c r="N149" i="6" s="1"/>
  <c r="F148" i="6"/>
  <c r="E148" i="6"/>
  <c r="D148" i="6"/>
  <c r="J149" i="6" l="1"/>
  <c r="K149" i="6"/>
  <c r="I151" i="6"/>
  <c r="J151" i="6"/>
  <c r="I149" i="6"/>
  <c r="K151" i="6"/>
  <c r="F144" i="6"/>
  <c r="E144" i="6"/>
  <c r="D144" i="6"/>
  <c r="F143" i="6"/>
  <c r="E143" i="6"/>
  <c r="D143" i="6"/>
  <c r="M142" i="6"/>
  <c r="H142" i="6"/>
  <c r="F142" i="6"/>
  <c r="P142" i="6" s="1"/>
  <c r="E142" i="6"/>
  <c r="O142" i="6" s="1"/>
  <c r="D142" i="6"/>
  <c r="N142" i="6" s="1"/>
  <c r="F141" i="6"/>
  <c r="E141" i="6"/>
  <c r="D141" i="6"/>
  <c r="M140" i="6"/>
  <c r="H140" i="6"/>
  <c r="F140" i="6"/>
  <c r="P140" i="6" s="1"/>
  <c r="E140" i="6"/>
  <c r="O140" i="6" s="1"/>
  <c r="D140" i="6"/>
  <c r="N140" i="6" s="1"/>
  <c r="F139" i="6"/>
  <c r="E139" i="6"/>
  <c r="D139" i="6"/>
  <c r="J140" i="6" l="1"/>
  <c r="J142" i="6"/>
  <c r="I140" i="6"/>
  <c r="K140" i="6"/>
  <c r="I142" i="6"/>
  <c r="K142" i="6"/>
  <c r="F135" i="6" l="1"/>
  <c r="E135" i="6"/>
  <c r="D135" i="6"/>
  <c r="F134" i="6"/>
  <c r="E134" i="6"/>
  <c r="D134" i="6"/>
  <c r="M133" i="6"/>
  <c r="H133" i="6"/>
  <c r="F133" i="6"/>
  <c r="P133" i="6" s="1"/>
  <c r="E133" i="6"/>
  <c r="O133" i="6" s="1"/>
  <c r="D133" i="6"/>
  <c r="N133" i="6" s="1"/>
  <c r="F132" i="6"/>
  <c r="E132" i="6"/>
  <c r="D132" i="6"/>
  <c r="M131" i="6"/>
  <c r="H131" i="6"/>
  <c r="F131" i="6"/>
  <c r="P131" i="6" s="1"/>
  <c r="E131" i="6"/>
  <c r="O131" i="6" s="1"/>
  <c r="D131" i="6"/>
  <c r="N131" i="6" s="1"/>
  <c r="F130" i="6"/>
  <c r="E130" i="6"/>
  <c r="D130" i="6"/>
  <c r="J131" i="6" l="1"/>
  <c r="J133" i="6"/>
  <c r="I131" i="6"/>
  <c r="K131" i="6"/>
  <c r="I133" i="6"/>
  <c r="K133" i="6"/>
  <c r="F126" i="6" l="1"/>
  <c r="E126" i="6"/>
  <c r="D126" i="6"/>
  <c r="F125" i="6"/>
  <c r="E125" i="6"/>
  <c r="D125" i="6"/>
  <c r="M124" i="6"/>
  <c r="H124" i="6"/>
  <c r="F124" i="6"/>
  <c r="P124" i="6" s="1"/>
  <c r="E124" i="6"/>
  <c r="O124" i="6" s="1"/>
  <c r="D124" i="6"/>
  <c r="N124" i="6" s="1"/>
  <c r="F123" i="6"/>
  <c r="E123" i="6"/>
  <c r="D123" i="6"/>
  <c r="M122" i="6"/>
  <c r="H122" i="6"/>
  <c r="F122" i="6"/>
  <c r="P122" i="6" s="1"/>
  <c r="E122" i="6"/>
  <c r="O122" i="6" s="1"/>
  <c r="D122" i="6"/>
  <c r="N122" i="6" s="1"/>
  <c r="F121" i="6"/>
  <c r="E121" i="6"/>
  <c r="D121" i="6"/>
  <c r="F118" i="6"/>
  <c r="E118" i="6"/>
  <c r="D118" i="6"/>
  <c r="F117" i="6"/>
  <c r="E117" i="6"/>
  <c r="D117" i="6"/>
  <c r="M116" i="6"/>
  <c r="H116" i="6"/>
  <c r="F116" i="6"/>
  <c r="P116" i="6" s="1"/>
  <c r="E116" i="6"/>
  <c r="O116" i="6" s="1"/>
  <c r="D116" i="6"/>
  <c r="N116" i="6" s="1"/>
  <c r="F115" i="6"/>
  <c r="E115" i="6"/>
  <c r="D115" i="6"/>
  <c r="M114" i="6"/>
  <c r="H114" i="6"/>
  <c r="F114" i="6"/>
  <c r="P114" i="6" s="1"/>
  <c r="E114" i="6"/>
  <c r="O114" i="6" s="1"/>
  <c r="D114" i="6"/>
  <c r="N114" i="6" s="1"/>
  <c r="F113" i="6"/>
  <c r="E113" i="6"/>
  <c r="D113" i="6"/>
  <c r="M33" i="4"/>
  <c r="L47" i="4" s="1"/>
  <c r="E33" i="3" s="1"/>
  <c r="J114" i="6" l="1"/>
  <c r="J116" i="6"/>
  <c r="J122" i="6"/>
  <c r="J124" i="6"/>
  <c r="I114" i="6"/>
  <c r="K114" i="6"/>
  <c r="I116" i="6"/>
  <c r="K116" i="6"/>
  <c r="I122" i="6"/>
  <c r="K122" i="6"/>
  <c r="I124" i="6"/>
  <c r="K124" i="6"/>
  <c r="F108" i="6"/>
  <c r="E108" i="6"/>
  <c r="D108" i="6"/>
  <c r="F107" i="6"/>
  <c r="E107" i="6"/>
  <c r="D107" i="6"/>
  <c r="M106" i="6"/>
  <c r="H106" i="6"/>
  <c r="F106" i="6"/>
  <c r="P106" i="6" s="1"/>
  <c r="E106" i="6"/>
  <c r="O106" i="6" s="1"/>
  <c r="D106" i="6"/>
  <c r="N106" i="6" s="1"/>
  <c r="F105" i="6"/>
  <c r="E105" i="6"/>
  <c r="D105" i="6"/>
  <c r="M104" i="6"/>
  <c r="H104" i="6"/>
  <c r="F104" i="6"/>
  <c r="P104" i="6" s="1"/>
  <c r="E104" i="6"/>
  <c r="O104" i="6" s="1"/>
  <c r="D104" i="6"/>
  <c r="N104" i="6" s="1"/>
  <c r="F103" i="6"/>
  <c r="E103" i="6"/>
  <c r="D103" i="6"/>
  <c r="F100" i="6"/>
  <c r="E100" i="6"/>
  <c r="D100" i="6"/>
  <c r="F99" i="6"/>
  <c r="E99" i="6"/>
  <c r="D99" i="6"/>
  <c r="M98" i="6"/>
  <c r="H98" i="6"/>
  <c r="F98" i="6"/>
  <c r="P98" i="6" s="1"/>
  <c r="E98" i="6"/>
  <c r="O98" i="6" s="1"/>
  <c r="D98" i="6"/>
  <c r="N98" i="6" s="1"/>
  <c r="F97" i="6"/>
  <c r="E97" i="6"/>
  <c r="D97" i="6"/>
  <c r="M96" i="6"/>
  <c r="H96" i="6"/>
  <c r="F96" i="6"/>
  <c r="P96" i="6" s="1"/>
  <c r="E96" i="6"/>
  <c r="O96" i="6" s="1"/>
  <c r="D96" i="6"/>
  <c r="N96" i="6" s="1"/>
  <c r="F95" i="6"/>
  <c r="E95" i="6"/>
  <c r="D95" i="6"/>
  <c r="F90" i="6"/>
  <c r="E90" i="6"/>
  <c r="D90" i="6"/>
  <c r="F89" i="6"/>
  <c r="E89" i="6"/>
  <c r="D89" i="6"/>
  <c r="M88" i="6"/>
  <c r="H88" i="6"/>
  <c r="F88" i="6"/>
  <c r="P88" i="6" s="1"/>
  <c r="E88" i="6"/>
  <c r="O88" i="6" s="1"/>
  <c r="D88" i="6"/>
  <c r="N88" i="6" s="1"/>
  <c r="F87" i="6"/>
  <c r="E87" i="6"/>
  <c r="D87" i="6"/>
  <c r="M86" i="6"/>
  <c r="H86" i="6"/>
  <c r="F86" i="6"/>
  <c r="P86" i="6" s="1"/>
  <c r="E86" i="6"/>
  <c r="O86" i="6" s="1"/>
  <c r="D86" i="6"/>
  <c r="N86" i="6" s="1"/>
  <c r="F85" i="6"/>
  <c r="E85" i="6"/>
  <c r="D85" i="6"/>
  <c r="F82" i="6"/>
  <c r="E82" i="6"/>
  <c r="D82" i="6"/>
  <c r="F81" i="6"/>
  <c r="E81" i="6"/>
  <c r="D81" i="6"/>
  <c r="M80" i="6"/>
  <c r="H80" i="6"/>
  <c r="F80" i="6"/>
  <c r="P80" i="6" s="1"/>
  <c r="E80" i="6"/>
  <c r="O80" i="6" s="1"/>
  <c r="D80" i="6"/>
  <c r="N80" i="6" s="1"/>
  <c r="F79" i="6"/>
  <c r="E79" i="6"/>
  <c r="D79" i="6"/>
  <c r="M78" i="6"/>
  <c r="H78" i="6"/>
  <c r="F78" i="6"/>
  <c r="P78" i="6" s="1"/>
  <c r="E78" i="6"/>
  <c r="O78" i="6" s="1"/>
  <c r="D78" i="6"/>
  <c r="I78" i="6" s="1"/>
  <c r="F77" i="6"/>
  <c r="E77" i="6"/>
  <c r="D77" i="6"/>
  <c r="J96" i="6" l="1"/>
  <c r="J98" i="6"/>
  <c r="J104" i="6"/>
  <c r="J106" i="6"/>
  <c r="I96" i="6"/>
  <c r="K96" i="6"/>
  <c r="I98" i="6"/>
  <c r="K98" i="6"/>
  <c r="I104" i="6"/>
  <c r="K104" i="6"/>
  <c r="I106" i="6"/>
  <c r="K106" i="6"/>
  <c r="N78" i="6"/>
  <c r="J78" i="6"/>
  <c r="J80" i="6"/>
  <c r="J86" i="6"/>
  <c r="J88" i="6"/>
  <c r="K78" i="6"/>
  <c r="I80" i="6"/>
  <c r="K80" i="6"/>
  <c r="I86" i="6"/>
  <c r="K86" i="6"/>
  <c r="I88" i="6"/>
  <c r="K88" i="6"/>
  <c r="F72" i="6"/>
  <c r="E72" i="6"/>
  <c r="D72" i="6"/>
  <c r="F71" i="6"/>
  <c r="E71" i="6"/>
  <c r="D71" i="6"/>
  <c r="M70" i="6"/>
  <c r="H70" i="6"/>
  <c r="F70" i="6"/>
  <c r="P70" i="6" s="1"/>
  <c r="E70" i="6"/>
  <c r="O70" i="6" s="1"/>
  <c r="D70" i="6"/>
  <c r="N70" i="6" s="1"/>
  <c r="F69" i="6"/>
  <c r="E69" i="6"/>
  <c r="D69" i="6"/>
  <c r="M68" i="6"/>
  <c r="H68" i="6"/>
  <c r="F68" i="6"/>
  <c r="P68" i="6" s="1"/>
  <c r="E68" i="6"/>
  <c r="O68" i="6" s="1"/>
  <c r="D68" i="6"/>
  <c r="N68" i="6" s="1"/>
  <c r="F67" i="6"/>
  <c r="E67" i="6"/>
  <c r="D67" i="6"/>
  <c r="F64" i="6"/>
  <c r="E64" i="6"/>
  <c r="D64" i="6"/>
  <c r="F63" i="6"/>
  <c r="E63" i="6"/>
  <c r="D63" i="6"/>
  <c r="M62" i="6"/>
  <c r="H62" i="6"/>
  <c r="F62" i="6"/>
  <c r="P62" i="6" s="1"/>
  <c r="E62" i="6"/>
  <c r="O62" i="6" s="1"/>
  <c r="D62" i="6"/>
  <c r="N62" i="6" s="1"/>
  <c r="F61" i="6"/>
  <c r="E61" i="6"/>
  <c r="D61" i="6"/>
  <c r="M60" i="6"/>
  <c r="H60" i="6"/>
  <c r="F60" i="6"/>
  <c r="P60" i="6" s="1"/>
  <c r="E60" i="6"/>
  <c r="O60" i="6" s="1"/>
  <c r="D60" i="6"/>
  <c r="N60" i="6" s="1"/>
  <c r="F59" i="6"/>
  <c r="E59" i="6"/>
  <c r="D59" i="6"/>
  <c r="I60" i="6" l="1"/>
  <c r="K60" i="6"/>
  <c r="I62" i="6"/>
  <c r="K62" i="6"/>
  <c r="I68" i="6"/>
  <c r="K68" i="6"/>
  <c r="I70" i="6"/>
  <c r="K70" i="6"/>
  <c r="J60" i="6"/>
  <c r="J62" i="6"/>
  <c r="J68" i="6"/>
  <c r="J70" i="6"/>
  <c r="F54" i="6"/>
  <c r="E54" i="6"/>
  <c r="D54" i="6"/>
  <c r="F53" i="6"/>
  <c r="E53" i="6"/>
  <c r="D53" i="6"/>
  <c r="M52" i="6"/>
  <c r="H52" i="6"/>
  <c r="F52" i="6"/>
  <c r="P52" i="6" s="1"/>
  <c r="E52" i="6"/>
  <c r="O52" i="6" s="1"/>
  <c r="D52" i="6"/>
  <c r="N52" i="6" s="1"/>
  <c r="F51" i="6"/>
  <c r="E51" i="6"/>
  <c r="D51" i="6"/>
  <c r="M50" i="6"/>
  <c r="H50" i="6"/>
  <c r="F50" i="6"/>
  <c r="P50" i="6" s="1"/>
  <c r="E50" i="6"/>
  <c r="O50" i="6" s="1"/>
  <c r="D50" i="6"/>
  <c r="N50" i="6" s="1"/>
  <c r="F49" i="6"/>
  <c r="E49" i="6"/>
  <c r="D49" i="6"/>
  <c r="F46" i="6"/>
  <c r="E46" i="6"/>
  <c r="D46" i="6"/>
  <c r="F45" i="6"/>
  <c r="E45" i="6"/>
  <c r="D45" i="6"/>
  <c r="M44" i="6"/>
  <c r="H44" i="6"/>
  <c r="F44" i="6"/>
  <c r="P44" i="6" s="1"/>
  <c r="E44" i="6"/>
  <c r="O44" i="6" s="1"/>
  <c r="D44" i="6"/>
  <c r="N44" i="6" s="1"/>
  <c r="F43" i="6"/>
  <c r="E43" i="6"/>
  <c r="D43" i="6"/>
  <c r="M42" i="6"/>
  <c r="H42" i="6"/>
  <c r="F42" i="6"/>
  <c r="P42" i="6" s="1"/>
  <c r="E42" i="6"/>
  <c r="O42" i="6" s="1"/>
  <c r="D42" i="6"/>
  <c r="N42" i="6" s="1"/>
  <c r="F41" i="6"/>
  <c r="E41" i="6"/>
  <c r="D41" i="6"/>
  <c r="I42" i="6" l="1"/>
  <c r="K42" i="6"/>
  <c r="J42" i="6"/>
  <c r="J44" i="6"/>
  <c r="J50" i="6"/>
  <c r="J52" i="6"/>
  <c r="I44" i="6"/>
  <c r="K44" i="6"/>
  <c r="I50" i="6"/>
  <c r="K50" i="6"/>
  <c r="I52" i="6"/>
  <c r="K52" i="6"/>
  <c r="H38" i="3"/>
  <c r="L54" i="4"/>
  <c r="M34" i="6"/>
  <c r="K34" i="6"/>
  <c r="H34" i="6"/>
  <c r="M32" i="6"/>
  <c r="H32" i="6"/>
  <c r="M26" i="6"/>
  <c r="H26" i="6"/>
  <c r="M24" i="6"/>
  <c r="K24" i="6"/>
  <c r="H24" i="6"/>
  <c r="M16" i="6"/>
  <c r="K16" i="6"/>
  <c r="H16" i="6"/>
  <c r="M14" i="6"/>
  <c r="H14" i="6"/>
  <c r="M8" i="6"/>
  <c r="M6" i="6"/>
  <c r="H8" i="6"/>
  <c r="H6" i="6"/>
  <c r="F36" i="6"/>
  <c r="E36" i="6"/>
  <c r="D36" i="6"/>
  <c r="F35" i="6"/>
  <c r="E35" i="6"/>
  <c r="D35" i="6"/>
  <c r="F34" i="6"/>
  <c r="P34" i="6" s="1"/>
  <c r="E34" i="6"/>
  <c r="O34" i="6" s="1"/>
  <c r="D34" i="6"/>
  <c r="N34" i="6" s="1"/>
  <c r="F33" i="6"/>
  <c r="E33" i="6"/>
  <c r="D33" i="6"/>
  <c r="F32" i="6"/>
  <c r="P32" i="6" s="1"/>
  <c r="E32" i="6"/>
  <c r="O32" i="6" s="1"/>
  <c r="D32" i="6"/>
  <c r="N32" i="6" s="1"/>
  <c r="F31" i="6"/>
  <c r="E31" i="6"/>
  <c r="D31" i="6"/>
  <c r="F28" i="6"/>
  <c r="E28" i="6"/>
  <c r="D28" i="6"/>
  <c r="F27" i="6"/>
  <c r="E27" i="6"/>
  <c r="D27" i="6"/>
  <c r="F26" i="6"/>
  <c r="P26" i="6" s="1"/>
  <c r="E26" i="6"/>
  <c r="O26" i="6" s="1"/>
  <c r="D26" i="6"/>
  <c r="N26" i="6" s="1"/>
  <c r="F25" i="6"/>
  <c r="E25" i="6"/>
  <c r="D25" i="6"/>
  <c r="F24" i="6"/>
  <c r="P24" i="6" s="1"/>
  <c r="E24" i="6"/>
  <c r="O24" i="6" s="1"/>
  <c r="D24" i="6"/>
  <c r="N24" i="6" s="1"/>
  <c r="F23" i="6"/>
  <c r="E23" i="6"/>
  <c r="D23" i="6"/>
  <c r="F18" i="6"/>
  <c r="E18" i="6"/>
  <c r="D18" i="6"/>
  <c r="F17" i="6"/>
  <c r="E17" i="6"/>
  <c r="D17" i="6"/>
  <c r="F16" i="6"/>
  <c r="P16" i="6" s="1"/>
  <c r="E16" i="6"/>
  <c r="O16" i="6" s="1"/>
  <c r="D16" i="6"/>
  <c r="N16" i="6" s="1"/>
  <c r="F15" i="6"/>
  <c r="E15" i="6"/>
  <c r="D15" i="6"/>
  <c r="F14" i="6"/>
  <c r="P14" i="6" s="1"/>
  <c r="E14" i="6"/>
  <c r="O14" i="6" s="1"/>
  <c r="D14" i="6"/>
  <c r="N14" i="6" s="1"/>
  <c r="F13" i="6"/>
  <c r="E13" i="6"/>
  <c r="D13" i="6"/>
  <c r="F10" i="6"/>
  <c r="E10" i="6"/>
  <c r="D10" i="6"/>
  <c r="F9" i="6"/>
  <c r="E9" i="6"/>
  <c r="D9" i="6"/>
  <c r="F8" i="6"/>
  <c r="P8" i="6" s="1"/>
  <c r="E8" i="6"/>
  <c r="O8" i="6" s="1"/>
  <c r="D8" i="6"/>
  <c r="N8" i="6" s="1"/>
  <c r="F7" i="6"/>
  <c r="E7" i="6"/>
  <c r="D7" i="6"/>
  <c r="F6" i="6"/>
  <c r="P6" i="6" s="1"/>
  <c r="E6" i="6"/>
  <c r="O6" i="6" s="1"/>
  <c r="D6" i="6"/>
  <c r="N6" i="6" s="1"/>
  <c r="F5" i="6"/>
  <c r="E5" i="6"/>
  <c r="D5" i="6"/>
  <c r="D37" i="3"/>
  <c r="M4" i="4"/>
  <c r="M6" i="4"/>
  <c r="M8" i="4"/>
  <c r="M18" i="4"/>
  <c r="M12" i="4"/>
  <c r="M10" i="4"/>
  <c r="M14" i="4"/>
  <c r="K16" i="4"/>
  <c r="M16" i="4"/>
  <c r="Y32" i="4"/>
  <c r="Y47" i="4" s="1"/>
  <c r="Y61" i="4" s="1"/>
  <c r="Y75" i="4" s="1"/>
  <c r="Y33" i="4"/>
  <c r="Y48" i="4" s="1"/>
  <c r="Y62" i="4" s="1"/>
  <c r="Y76" i="4" s="1"/>
  <c r="X33" i="4"/>
  <c r="X32" i="4"/>
  <c r="X31" i="4"/>
  <c r="X30" i="4"/>
  <c r="X29" i="4"/>
  <c r="X28" i="4"/>
  <c r="X27" i="4"/>
  <c r="K18" i="4"/>
  <c r="K6" i="6" l="1"/>
  <c r="H24" i="4"/>
  <c r="X46" i="4"/>
  <c r="X60" i="4" s="1"/>
  <c r="X74" i="4" s="1"/>
  <c r="G24" i="4"/>
  <c r="X45" i="4"/>
  <c r="X59" i="4" s="1"/>
  <c r="X73" i="4" s="1"/>
  <c r="I24" i="4"/>
  <c r="X47" i="4"/>
  <c r="X61" i="4" s="1"/>
  <c r="X75" i="4" s="1"/>
  <c r="D24" i="4"/>
  <c r="X42" i="4"/>
  <c r="X56" i="4" s="1"/>
  <c r="X70" i="4" s="1"/>
  <c r="E24" i="4"/>
  <c r="X43" i="4"/>
  <c r="X57" i="4" s="1"/>
  <c r="X71" i="4" s="1"/>
  <c r="F24" i="4"/>
  <c r="X44" i="4"/>
  <c r="X58" i="4" s="1"/>
  <c r="X72" i="4" s="1"/>
  <c r="J24" i="4"/>
  <c r="X48" i="4"/>
  <c r="X62" i="4" s="1"/>
  <c r="X76" i="4" s="1"/>
  <c r="R18" i="4"/>
  <c r="L18" i="4"/>
  <c r="G18" i="4" s="1"/>
  <c r="H18" i="4" s="1"/>
  <c r="R16" i="4"/>
  <c r="L16" i="4"/>
  <c r="Y31" i="4"/>
  <c r="Y46" i="4" s="1"/>
  <c r="Y60" i="4" s="1"/>
  <c r="Y74" i="4" s="1"/>
  <c r="Y30" i="4"/>
  <c r="Y45" i="4" s="1"/>
  <c r="Y59" i="4" s="1"/>
  <c r="Y73" i="4" s="1"/>
  <c r="E16" i="4"/>
  <c r="F16" i="4" s="1"/>
  <c r="E18" i="4"/>
  <c r="Y28" i="4"/>
  <c r="Y43" i="4" s="1"/>
  <c r="Y57" i="4" s="1"/>
  <c r="Y71" i="4" s="1"/>
  <c r="Y29" i="4"/>
  <c r="Y44" i="4" s="1"/>
  <c r="Y58" i="4" s="1"/>
  <c r="Y72" i="4" s="1"/>
  <c r="I6" i="6"/>
  <c r="I8" i="6"/>
  <c r="I14" i="6"/>
  <c r="I16" i="6"/>
  <c r="I24" i="6"/>
  <c r="I26" i="6"/>
  <c r="I32" i="6"/>
  <c r="I34" i="6"/>
  <c r="J6" i="6"/>
  <c r="J8" i="6"/>
  <c r="J14" i="6"/>
  <c r="J16" i="6"/>
  <c r="J24" i="6"/>
  <c r="J26" i="6"/>
  <c r="J32" i="6"/>
  <c r="J34" i="6"/>
  <c r="K8" i="6"/>
  <c r="K14" i="6"/>
  <c r="K26" i="6"/>
  <c r="K32" i="6"/>
  <c r="Y26" i="4"/>
  <c r="Y41" i="4" s="1"/>
  <c r="Y55" i="4" s="1"/>
  <c r="Y69" i="4" s="1"/>
  <c r="Y27" i="4"/>
  <c r="Y42" i="4" s="1"/>
  <c r="Y56" i="4" s="1"/>
  <c r="Y70" i="4" s="1"/>
  <c r="X26" i="4"/>
  <c r="C24" i="4" l="1"/>
  <c r="X41" i="4"/>
  <c r="X55" i="4" s="1"/>
  <c r="X69" i="4" s="1"/>
  <c r="N16" i="4"/>
  <c r="P16" i="4" s="1"/>
  <c r="AD16" i="4" s="1"/>
  <c r="Z20" i="4"/>
  <c r="K14" i="4"/>
  <c r="K12" i="4"/>
  <c r="F18" i="4"/>
  <c r="N18" i="4" s="1"/>
  <c r="S18" i="4" s="1"/>
  <c r="AF23" i="3" s="1"/>
  <c r="K8" i="4"/>
  <c r="K10" i="4"/>
  <c r="U20" i="4"/>
  <c r="K4" i="4"/>
  <c r="K6" i="4"/>
  <c r="BD103" i="4" l="1"/>
  <c r="BH103" i="4"/>
  <c r="AZ103" i="4"/>
  <c r="BA103" i="4"/>
  <c r="BI103" i="4"/>
  <c r="BJ103" i="4"/>
  <c r="BC103" i="4"/>
  <c r="BE103" i="4"/>
  <c r="BF103" i="4"/>
  <c r="BG103" i="4"/>
  <c r="BB103" i="4"/>
  <c r="BK103" i="4"/>
  <c r="Q16" i="4"/>
  <c r="S16" i="4"/>
  <c r="AF22" i="3" s="1"/>
  <c r="O16" i="4"/>
  <c r="R8" i="4"/>
  <c r="L8" i="4"/>
  <c r="G8" i="4" s="1"/>
  <c r="H8" i="4" s="1"/>
  <c r="R12" i="4"/>
  <c r="L12" i="4"/>
  <c r="R6" i="4"/>
  <c r="L6" i="4"/>
  <c r="G6" i="4" s="1"/>
  <c r="H6" i="4" s="1"/>
  <c r="R10" i="4"/>
  <c r="L10" i="4"/>
  <c r="R14" i="4"/>
  <c r="L14" i="4"/>
  <c r="R4" i="4"/>
  <c r="L4" i="4"/>
  <c r="G4" i="4" s="1"/>
  <c r="H4" i="4" s="1"/>
  <c r="Q18" i="4"/>
  <c r="E14" i="4"/>
  <c r="F14" i="4" s="1"/>
  <c r="E12" i="4"/>
  <c r="F12" i="4" s="1"/>
  <c r="E8" i="4"/>
  <c r="E10" i="4"/>
  <c r="E6" i="4"/>
  <c r="AE20" i="4"/>
  <c r="Y16" i="4" l="1"/>
  <c r="T16" i="4"/>
  <c r="N14" i="4"/>
  <c r="P14" i="4" s="1"/>
  <c r="AD14" i="4" s="1"/>
  <c r="N12" i="4"/>
  <c r="M26" i="4"/>
  <c r="P18" i="4"/>
  <c r="AD18" i="4" s="1"/>
  <c r="O18" i="4"/>
  <c r="F10" i="4"/>
  <c r="N10" i="4" s="1"/>
  <c r="S10" i="4" s="1"/>
  <c r="AF19" i="3" s="1"/>
  <c r="F8" i="4"/>
  <c r="N8" i="4" s="1"/>
  <c r="S8" i="4" s="1"/>
  <c r="AF18" i="3" s="1"/>
  <c r="F6" i="4"/>
  <c r="N6" i="4" s="1"/>
  <c r="S6" i="4" s="1"/>
  <c r="AF17" i="3" s="1"/>
  <c r="BD105" i="4" l="1"/>
  <c r="BA105" i="4"/>
  <c r="BI105" i="4"/>
  <c r="BF105" i="4"/>
  <c r="BC105" i="4"/>
  <c r="BK105" i="4"/>
  <c r="BJ105" i="4"/>
  <c r="BG105" i="4"/>
  <c r="AZ105" i="4"/>
  <c r="BH105" i="4"/>
  <c r="BE105" i="4"/>
  <c r="BB105" i="4"/>
  <c r="BA57" i="4"/>
  <c r="BD57" i="4"/>
  <c r="BE57" i="4"/>
  <c r="BI57" i="4"/>
  <c r="BB57" i="4"/>
  <c r="BF57" i="4"/>
  <c r="BJ57" i="4"/>
  <c r="BC57" i="4"/>
  <c r="BG57" i="4"/>
  <c r="BK57" i="4"/>
  <c r="AZ57" i="4"/>
  <c r="BH57" i="4"/>
  <c r="BH80" i="4"/>
  <c r="BA80" i="4"/>
  <c r="BE80" i="4"/>
  <c r="BI80" i="4"/>
  <c r="BB80" i="4"/>
  <c r="BF80" i="4"/>
  <c r="BJ80" i="4"/>
  <c r="BG80" i="4"/>
  <c r="AZ80" i="4"/>
  <c r="BD80" i="4"/>
  <c r="BC80" i="4"/>
  <c r="BK80" i="4"/>
  <c r="BD101" i="4"/>
  <c r="BA101" i="4"/>
  <c r="BI101" i="4"/>
  <c r="BF101" i="4"/>
  <c r="BC101" i="4"/>
  <c r="BK101" i="4"/>
  <c r="AZ101" i="4"/>
  <c r="BH101" i="4"/>
  <c r="BE101" i="4"/>
  <c r="BB101" i="4"/>
  <c r="BJ101" i="4"/>
  <c r="BG101" i="4"/>
  <c r="Y18" i="4"/>
  <c r="T18" i="4"/>
  <c r="Q12" i="4"/>
  <c r="S12" i="4"/>
  <c r="AF20" i="3" s="1"/>
  <c r="Q14" i="4"/>
  <c r="S14" i="4"/>
  <c r="AF21" i="3" s="1"/>
  <c r="P12" i="4"/>
  <c r="AD12" i="4" s="1"/>
  <c r="O12" i="4"/>
  <c r="O14" i="4"/>
  <c r="Q10" i="4"/>
  <c r="Q8" i="4"/>
  <c r="Q6" i="4"/>
  <c r="BA59" i="4" l="1"/>
  <c r="BE59" i="4"/>
  <c r="BI59" i="4"/>
  <c r="BH59" i="4"/>
  <c r="BG59" i="4"/>
  <c r="AZ59" i="4"/>
  <c r="BF59" i="4"/>
  <c r="BJ59" i="4"/>
  <c r="BD59" i="4"/>
  <c r="BB59" i="4"/>
  <c r="BC59" i="4"/>
  <c r="BK59" i="4"/>
  <c r="AZ82" i="4"/>
  <c r="BD82" i="4"/>
  <c r="BH82" i="4"/>
  <c r="BB82" i="4"/>
  <c r="BF82" i="4"/>
  <c r="BJ82" i="4"/>
  <c r="BC82" i="4"/>
  <c r="BG82" i="4"/>
  <c r="BK82" i="4"/>
  <c r="BA82" i="4"/>
  <c r="BI82" i="4"/>
  <c r="BE82" i="4"/>
  <c r="BD99" i="4"/>
  <c r="BE99" i="4"/>
  <c r="BF99" i="4"/>
  <c r="BG99" i="4"/>
  <c r="BH99" i="4"/>
  <c r="AZ99" i="4"/>
  <c r="BA99" i="4"/>
  <c r="BI99" i="4"/>
  <c r="BB99" i="4"/>
  <c r="BJ99" i="4"/>
  <c r="BC99" i="4"/>
  <c r="BK99" i="4"/>
  <c r="T12" i="4"/>
  <c r="Y12" i="4"/>
  <c r="Y14" i="4"/>
  <c r="T14" i="4"/>
  <c r="P10" i="4"/>
  <c r="AD10" i="4" s="1"/>
  <c r="O10" i="4"/>
  <c r="P8" i="4"/>
  <c r="O8" i="4"/>
  <c r="P6" i="4"/>
  <c r="O6" i="4"/>
  <c r="AD8" i="4" l="1"/>
  <c r="BK95" i="4" s="1"/>
  <c r="AD6" i="4"/>
  <c r="BB93" i="4" s="1"/>
  <c r="BD55" i="4"/>
  <c r="BF55" i="4"/>
  <c r="BH55" i="4"/>
  <c r="AZ55" i="4"/>
  <c r="BA55" i="4"/>
  <c r="BE55" i="4"/>
  <c r="BI55" i="4"/>
  <c r="BB55" i="4"/>
  <c r="BJ55" i="4"/>
  <c r="BC55" i="4"/>
  <c r="BG55" i="4"/>
  <c r="BK55" i="4"/>
  <c r="BA78" i="4"/>
  <c r="BE78" i="4"/>
  <c r="BI78" i="4"/>
  <c r="BB78" i="4"/>
  <c r="BJ78" i="4"/>
  <c r="BC78" i="4"/>
  <c r="BG78" i="4"/>
  <c r="BK78" i="4"/>
  <c r="AZ78" i="4"/>
  <c r="BD78" i="4"/>
  <c r="BF78" i="4"/>
  <c r="BH78" i="4"/>
  <c r="AZ76" i="4"/>
  <c r="BD76" i="4"/>
  <c r="BH76" i="4"/>
  <c r="BA76" i="4"/>
  <c r="BE76" i="4"/>
  <c r="BI76" i="4"/>
  <c r="BB76" i="4"/>
  <c r="BF76" i="4"/>
  <c r="BJ76" i="4"/>
  <c r="BC76" i="4"/>
  <c r="BG76" i="4"/>
  <c r="BK76" i="4"/>
  <c r="AZ53" i="4"/>
  <c r="BF53" i="4"/>
  <c r="BH53" i="4"/>
  <c r="BC53" i="4"/>
  <c r="BK53" i="4"/>
  <c r="BA53" i="4"/>
  <c r="BE53" i="4"/>
  <c r="BI53" i="4"/>
  <c r="BB53" i="4"/>
  <c r="BJ53" i="4"/>
  <c r="BG53" i="4"/>
  <c r="BD53" i="4"/>
  <c r="BD97" i="4"/>
  <c r="BA97" i="4"/>
  <c r="BI97" i="4"/>
  <c r="BF97" i="4"/>
  <c r="BC97" i="4"/>
  <c r="BK97" i="4"/>
  <c r="AZ97" i="4"/>
  <c r="BH97" i="4"/>
  <c r="BE97" i="4"/>
  <c r="BB97" i="4"/>
  <c r="BJ97" i="4"/>
  <c r="BG97" i="4"/>
  <c r="Y8" i="4"/>
  <c r="T8" i="4"/>
  <c r="Y6" i="4"/>
  <c r="T6" i="4"/>
  <c r="Y10" i="4"/>
  <c r="T10" i="4"/>
  <c r="G39" i="3"/>
  <c r="BK93" i="4" l="1"/>
  <c r="BE93" i="4"/>
  <c r="AZ93" i="4"/>
  <c r="BI93" i="4"/>
  <c r="BJ93" i="4"/>
  <c r="BG95" i="4"/>
  <c r="BB95" i="4"/>
  <c r="BA95" i="4"/>
  <c r="BH93" i="4"/>
  <c r="BC95" i="4"/>
  <c r="AZ95" i="4"/>
  <c r="BF95" i="4"/>
  <c r="BD95" i="4"/>
  <c r="BH95" i="4"/>
  <c r="BJ95" i="4"/>
  <c r="BE95" i="4"/>
  <c r="BI95" i="4"/>
  <c r="BG93" i="4"/>
  <c r="BD93" i="4"/>
  <c r="BF93" i="4"/>
  <c r="BC93" i="4"/>
  <c r="BA93" i="4"/>
  <c r="BB51" i="4"/>
  <c r="BJ51" i="4"/>
  <c r="BA51" i="4"/>
  <c r="BE51" i="4"/>
  <c r="BI51" i="4"/>
  <c r="BD51" i="4"/>
  <c r="BG51" i="4"/>
  <c r="AZ51" i="4"/>
  <c r="BF51" i="4"/>
  <c r="BH51" i="4"/>
  <c r="BC51" i="4"/>
  <c r="BK51" i="4"/>
  <c r="AZ74" i="4"/>
  <c r="BH74" i="4"/>
  <c r="BF74" i="4"/>
  <c r="BB74" i="4"/>
  <c r="BJ74" i="4"/>
  <c r="BC74" i="4"/>
  <c r="BG74" i="4"/>
  <c r="BK74" i="4"/>
  <c r="BE74" i="4"/>
  <c r="BD74" i="4"/>
  <c r="BA74" i="4"/>
  <c r="BI74" i="4"/>
  <c r="AZ49" i="4"/>
  <c r="BA49" i="4"/>
  <c r="BI49" i="4"/>
  <c r="BJ49" i="4"/>
  <c r="BF49" i="4"/>
  <c r="BG49" i="4"/>
  <c r="BC49" i="4"/>
  <c r="BK49" i="4"/>
  <c r="BD49" i="4"/>
  <c r="BH49" i="4"/>
  <c r="BE49" i="4"/>
  <c r="BB49" i="4"/>
  <c r="AZ72" i="4"/>
  <c r="BA72" i="4"/>
  <c r="BI72" i="4"/>
  <c r="BJ72" i="4"/>
  <c r="BF72" i="4"/>
  <c r="BG72" i="4"/>
  <c r="BH72" i="4"/>
  <c r="BE72" i="4"/>
  <c r="BB72" i="4"/>
  <c r="BC72" i="4"/>
  <c r="BK72" i="4"/>
  <c r="BD72" i="4"/>
  <c r="AZ70" i="4"/>
  <c r="BB70" i="4"/>
  <c r="BF70" i="4"/>
  <c r="BJ70" i="4"/>
  <c r="BK70" i="4"/>
  <c r="BD70" i="4"/>
  <c r="BH70" i="4"/>
  <c r="BC70" i="4"/>
  <c r="BG70" i="4"/>
  <c r="BA70" i="4"/>
  <c r="BE70" i="4"/>
  <c r="BI70" i="4"/>
  <c r="BE47" i="4"/>
  <c r="BA47" i="4"/>
  <c r="BI47" i="4"/>
  <c r="AZ47" i="4"/>
  <c r="BB47" i="4"/>
  <c r="BF47" i="4"/>
  <c r="BJ47" i="4"/>
  <c r="BD47" i="4"/>
  <c r="BH47" i="4"/>
  <c r="BC47" i="4"/>
  <c r="BG47" i="4"/>
  <c r="BK47" i="4"/>
  <c r="G41" i="3"/>
  <c r="G40" i="3"/>
  <c r="G42" i="3" l="1"/>
  <c r="E4" i="4" l="1"/>
  <c r="F4" i="4" s="1"/>
  <c r="R20" i="4"/>
  <c r="N4" i="4" l="1"/>
  <c r="S4" i="4" l="1"/>
  <c r="AF16" i="3" s="1"/>
  <c r="Q4" i="4"/>
  <c r="P4" i="4"/>
  <c r="O4" i="4"/>
  <c r="N20" i="4"/>
  <c r="BD14" i="4" l="1"/>
  <c r="BB14" i="4"/>
  <c r="AZ14" i="4"/>
  <c r="BK14" i="4"/>
  <c r="BI14" i="4"/>
  <c r="BG14" i="4"/>
  <c r="BE14" i="4"/>
  <c r="BH14" i="4"/>
  <c r="BC14" i="4"/>
  <c r="BA14" i="4"/>
  <c r="BJ14" i="4"/>
  <c r="BF14" i="4"/>
  <c r="BH9" i="4"/>
  <c r="BD9" i="4"/>
  <c r="BJ9" i="4"/>
  <c r="BF9" i="4"/>
  <c r="BB9" i="4"/>
  <c r="BI9" i="4"/>
  <c r="BE9" i="4"/>
  <c r="BA9" i="4"/>
  <c r="AZ9" i="4"/>
  <c r="BK9" i="4"/>
  <c r="BC9" i="4"/>
  <c r="BG9" i="4"/>
  <c r="BK4" i="4"/>
  <c r="BG4" i="4"/>
  <c r="BC4" i="4"/>
  <c r="BJ4" i="4"/>
  <c r="BF4" i="4"/>
  <c r="BB4" i="4"/>
  <c r="BI4" i="4"/>
  <c r="BE4" i="4"/>
  <c r="BA4" i="4"/>
  <c r="AZ4" i="4"/>
  <c r="BH4" i="4"/>
  <c r="BD4" i="4"/>
  <c r="Y4" i="4"/>
  <c r="T4" i="4"/>
  <c r="AD4" i="4"/>
  <c r="M24" i="4"/>
  <c r="Q20" i="4"/>
  <c r="M31" i="4"/>
  <c r="P20" i="4"/>
  <c r="O20" i="4"/>
  <c r="M29" i="4"/>
  <c r="M28" i="4"/>
  <c r="M27" i="4"/>
  <c r="BL9" i="4" l="1"/>
  <c r="BM9" i="4" s="1"/>
  <c r="BL14" i="4"/>
  <c r="BM14" i="4" s="1"/>
  <c r="BA91" i="4"/>
  <c r="BA107" i="4" s="1"/>
  <c r="BI91" i="4"/>
  <c r="BI107" i="4" s="1"/>
  <c r="BB91" i="4"/>
  <c r="BB107" i="4" s="1"/>
  <c r="BJ91" i="4"/>
  <c r="BJ107" i="4" s="1"/>
  <c r="BC91" i="4"/>
  <c r="BC107" i="4" s="1"/>
  <c r="BK91" i="4"/>
  <c r="BK107" i="4" s="1"/>
  <c r="BD91" i="4"/>
  <c r="BD107" i="4" s="1"/>
  <c r="BF91" i="4"/>
  <c r="BF107" i="4" s="1"/>
  <c r="BG91" i="4"/>
  <c r="BG107" i="4" s="1"/>
  <c r="BH91" i="4"/>
  <c r="BH107" i="4" s="1"/>
  <c r="AZ91" i="4"/>
  <c r="AZ107" i="4" s="1"/>
  <c r="BE91" i="4"/>
  <c r="BE107" i="4" s="1"/>
  <c r="BJ45" i="4"/>
  <c r="BJ61" i="4" s="1"/>
  <c r="BK45" i="4"/>
  <c r="BK61" i="4" s="1"/>
  <c r="BB45" i="4"/>
  <c r="BB61" i="4" s="1"/>
  <c r="BD45" i="4"/>
  <c r="BD61" i="4" s="1"/>
  <c r="BI45" i="4"/>
  <c r="BI61" i="4" s="1"/>
  <c r="BH45" i="4"/>
  <c r="BH61" i="4" s="1"/>
  <c r="AZ45" i="4"/>
  <c r="AZ61" i="4" s="1"/>
  <c r="BG45" i="4"/>
  <c r="BG61" i="4" s="1"/>
  <c r="BC45" i="4"/>
  <c r="BC61" i="4" s="1"/>
  <c r="BA45" i="4"/>
  <c r="BA61" i="4" s="1"/>
  <c r="BF45" i="4"/>
  <c r="BF61" i="4" s="1"/>
  <c r="BE45" i="4"/>
  <c r="BE61" i="4" s="1"/>
  <c r="Y20" i="4"/>
  <c r="BK68" i="4"/>
  <c r="BK84" i="4" s="1"/>
  <c r="BC68" i="4"/>
  <c r="BC84" i="4" s="1"/>
  <c r="BI68" i="4"/>
  <c r="BI84" i="4" s="1"/>
  <c r="BA68" i="4"/>
  <c r="BA84" i="4" s="1"/>
  <c r="BF68" i="4"/>
  <c r="BF84" i="4" s="1"/>
  <c r="BB68" i="4"/>
  <c r="BB84" i="4" s="1"/>
  <c r="BG68" i="4"/>
  <c r="BG84" i="4" s="1"/>
  <c r="BH68" i="4"/>
  <c r="BH84" i="4" s="1"/>
  <c r="BJ68" i="4"/>
  <c r="BJ84" i="4" s="1"/>
  <c r="BD68" i="4"/>
  <c r="BD84" i="4" s="1"/>
  <c r="BE68" i="4"/>
  <c r="BE84" i="4" s="1"/>
  <c r="AZ68" i="4"/>
  <c r="AZ84" i="4" s="1"/>
  <c r="T20" i="4"/>
  <c r="AD20" i="4"/>
  <c r="M34" i="4"/>
  <c r="AF18" i="4" l="1"/>
  <c r="AH18" i="4" s="1"/>
  <c r="V18" i="4"/>
  <c r="X18" i="4" s="1"/>
  <c r="AA18" i="4"/>
  <c r="AF16" i="4"/>
  <c r="AH16" i="4" s="1"/>
  <c r="V16" i="4"/>
  <c r="X16" i="4" s="1"/>
  <c r="AA16" i="4"/>
  <c r="AC16" i="4" s="1"/>
  <c r="AF14" i="4"/>
  <c r="AA14" i="4"/>
  <c r="AC14" i="4" s="1"/>
  <c r="V14" i="4"/>
  <c r="X14" i="4" s="1"/>
  <c r="AF10" i="4"/>
  <c r="BI98" i="4" s="1"/>
  <c r="AF12" i="4"/>
  <c r="AH12" i="4" s="1"/>
  <c r="V12" i="4"/>
  <c r="X12" i="4" s="1"/>
  <c r="AA12" i="4"/>
  <c r="AC12" i="4" s="1"/>
  <c r="V10" i="4"/>
  <c r="X10" i="4" s="1"/>
  <c r="AA10" i="4"/>
  <c r="AC10" i="4" s="1"/>
  <c r="AF8" i="4"/>
  <c r="V8" i="4"/>
  <c r="X8" i="4" s="1"/>
  <c r="AA8" i="4"/>
  <c r="AC8" i="4" s="1"/>
  <c r="AF6" i="4"/>
  <c r="V6" i="4"/>
  <c r="X6" i="4" s="1"/>
  <c r="AA6" i="4"/>
  <c r="AC6" i="4" s="1"/>
  <c r="AA4" i="4"/>
  <c r="W4" i="4"/>
  <c r="V4" i="4"/>
  <c r="AB4" i="4"/>
  <c r="AG4" i="4"/>
  <c r="AF4" i="4"/>
  <c r="H26" i="3"/>
  <c r="BK16" i="4" l="1"/>
  <c r="BK33" i="4" s="1"/>
  <c r="BI16" i="4"/>
  <c r="BI33" i="4" s="1"/>
  <c r="BJ16" i="4"/>
  <c r="BJ33" i="4" s="1"/>
  <c r="BH16" i="4"/>
  <c r="BH33" i="4" s="1"/>
  <c r="BD16" i="4"/>
  <c r="BD33" i="4" s="1"/>
  <c r="AZ16" i="4"/>
  <c r="BG16" i="4"/>
  <c r="BG33" i="4" s="1"/>
  <c r="BC16" i="4"/>
  <c r="BC33" i="4" s="1"/>
  <c r="BA16" i="4"/>
  <c r="BA33" i="4" s="1"/>
  <c r="BF16" i="4"/>
  <c r="BF33" i="4" s="1"/>
  <c r="BB16" i="4"/>
  <c r="BB33" i="4" s="1"/>
  <c r="BE16" i="4"/>
  <c r="BE33" i="4" s="1"/>
  <c r="BA98" i="4"/>
  <c r="AH10" i="4"/>
  <c r="BJ98" i="4"/>
  <c r="BK98" i="4"/>
  <c r="BG98" i="4"/>
  <c r="BF98" i="4"/>
  <c r="BB98" i="4"/>
  <c r="BH98" i="4"/>
  <c r="BA60" i="4"/>
  <c r="BE60" i="4"/>
  <c r="BI60" i="4"/>
  <c r="BF60" i="4"/>
  <c r="BD60" i="4"/>
  <c r="BH60" i="4"/>
  <c r="BB60" i="4"/>
  <c r="BC60" i="4"/>
  <c r="BG60" i="4"/>
  <c r="BK60" i="4"/>
  <c r="AZ60" i="4"/>
  <c r="BJ60" i="4"/>
  <c r="BH83" i="4"/>
  <c r="BB83" i="4"/>
  <c r="BF83" i="4"/>
  <c r="BJ83" i="4"/>
  <c r="BC83" i="4"/>
  <c r="BG83" i="4"/>
  <c r="BK83" i="4"/>
  <c r="AZ83" i="4"/>
  <c r="BD83" i="4"/>
  <c r="BA83" i="4"/>
  <c r="BE83" i="4"/>
  <c r="BI83" i="4"/>
  <c r="AC18" i="4"/>
  <c r="BD98" i="4"/>
  <c r="BA106" i="4"/>
  <c r="BI106" i="4"/>
  <c r="BF106" i="4"/>
  <c r="BC106" i="4"/>
  <c r="BK106" i="4"/>
  <c r="BD106" i="4"/>
  <c r="BH106" i="4"/>
  <c r="BE106" i="4"/>
  <c r="BB106" i="4"/>
  <c r="BJ106" i="4"/>
  <c r="BG106" i="4"/>
  <c r="AZ106" i="4"/>
  <c r="AZ81" i="4"/>
  <c r="BD81" i="4"/>
  <c r="BA81" i="4"/>
  <c r="BI81" i="4"/>
  <c r="BC81" i="4"/>
  <c r="BK81" i="4"/>
  <c r="BH81" i="4"/>
  <c r="BE81" i="4"/>
  <c r="BB81" i="4"/>
  <c r="BF81" i="4"/>
  <c r="BJ81" i="4"/>
  <c r="BG81" i="4"/>
  <c r="BE58" i="4"/>
  <c r="BI58" i="4"/>
  <c r="BB58" i="4"/>
  <c r="BF58" i="4"/>
  <c r="BJ58" i="4"/>
  <c r="BC58" i="4"/>
  <c r="BG58" i="4"/>
  <c r="BK58" i="4"/>
  <c r="BA58" i="4"/>
  <c r="AZ58" i="4"/>
  <c r="BD58" i="4"/>
  <c r="BH58" i="4"/>
  <c r="AZ98" i="4"/>
  <c r="BE98" i="4"/>
  <c r="BC98" i="4"/>
  <c r="BE104" i="4"/>
  <c r="BF104" i="4"/>
  <c r="BG104" i="4"/>
  <c r="AZ104" i="4"/>
  <c r="BA104" i="4"/>
  <c r="BI104" i="4"/>
  <c r="BD104" i="4"/>
  <c r="BB104" i="4"/>
  <c r="BJ104" i="4"/>
  <c r="BC104" i="4"/>
  <c r="BK104" i="4"/>
  <c r="BH104" i="4"/>
  <c r="BF56" i="4"/>
  <c r="AZ56" i="4"/>
  <c r="BD56" i="4"/>
  <c r="BH56" i="4"/>
  <c r="BA56" i="4"/>
  <c r="BE56" i="4"/>
  <c r="BI56" i="4"/>
  <c r="BB56" i="4"/>
  <c r="BJ56" i="4"/>
  <c r="BC56" i="4"/>
  <c r="BG56" i="4"/>
  <c r="BK56" i="4"/>
  <c r="AZ79" i="4"/>
  <c r="BA79" i="4"/>
  <c r="BE79" i="4"/>
  <c r="BI79" i="4"/>
  <c r="BH79" i="4"/>
  <c r="BB79" i="4"/>
  <c r="BJ79" i="4"/>
  <c r="BC79" i="4"/>
  <c r="BG79" i="4"/>
  <c r="BK79" i="4"/>
  <c r="BF79" i="4"/>
  <c r="BD79" i="4"/>
  <c r="BA102" i="4"/>
  <c r="BI102" i="4"/>
  <c r="BF102" i="4"/>
  <c r="BC102" i="4"/>
  <c r="BK102" i="4"/>
  <c r="BD102" i="4"/>
  <c r="BH102" i="4"/>
  <c r="BE102" i="4"/>
  <c r="BB102" i="4"/>
  <c r="BJ102" i="4"/>
  <c r="BG102" i="4"/>
  <c r="AZ102" i="4"/>
  <c r="AH14" i="4"/>
  <c r="BD77" i="4"/>
  <c r="BH77" i="4"/>
  <c r="AZ77" i="4"/>
  <c r="BA77" i="4"/>
  <c r="BE77" i="4"/>
  <c r="BI77" i="4"/>
  <c r="BB77" i="4"/>
  <c r="BF77" i="4"/>
  <c r="BJ77" i="4"/>
  <c r="BC77" i="4"/>
  <c r="BG77" i="4"/>
  <c r="BK77" i="4"/>
  <c r="BA54" i="4"/>
  <c r="BE54" i="4"/>
  <c r="BI54" i="4"/>
  <c r="BB54" i="4"/>
  <c r="BJ54" i="4"/>
  <c r="BG54" i="4"/>
  <c r="BF54" i="4"/>
  <c r="BC54" i="4"/>
  <c r="BK54" i="4"/>
  <c r="BD54" i="4"/>
  <c r="AZ54" i="4"/>
  <c r="BH54" i="4"/>
  <c r="BE100" i="4"/>
  <c r="BF100" i="4"/>
  <c r="BG100" i="4"/>
  <c r="BD100" i="4"/>
  <c r="AZ100" i="4"/>
  <c r="BA100" i="4"/>
  <c r="BI100" i="4"/>
  <c r="BB100" i="4"/>
  <c r="BJ100" i="4"/>
  <c r="BC100" i="4"/>
  <c r="BK100" i="4"/>
  <c r="BH100" i="4"/>
  <c r="AG20" i="4"/>
  <c r="BK17" i="4"/>
  <c r="BK34" i="4" s="1"/>
  <c r="BG17" i="4"/>
  <c r="BG34" i="4" s="1"/>
  <c r="BC17" i="4"/>
  <c r="BC34" i="4" s="1"/>
  <c r="AZ17" i="4"/>
  <c r="AZ34" i="4" s="1"/>
  <c r="BI17" i="4"/>
  <c r="BI34" i="4" s="1"/>
  <c r="BE17" i="4"/>
  <c r="BE34" i="4" s="1"/>
  <c r="BA17" i="4"/>
  <c r="BA34" i="4" s="1"/>
  <c r="BH17" i="4"/>
  <c r="BH34" i="4" s="1"/>
  <c r="BD17" i="4"/>
  <c r="BD34" i="4" s="1"/>
  <c r="BJ17" i="4"/>
  <c r="BJ34" i="4" s="1"/>
  <c r="BF17" i="4"/>
  <c r="BF34" i="4" s="1"/>
  <c r="BB17" i="4"/>
  <c r="BB34" i="4" s="1"/>
  <c r="BJ11" i="4"/>
  <c r="BJ28" i="4" s="1"/>
  <c r="BF11" i="4"/>
  <c r="BF28" i="4" s="1"/>
  <c r="BB11" i="4"/>
  <c r="BB28" i="4" s="1"/>
  <c r="BI11" i="4"/>
  <c r="BI28" i="4" s="1"/>
  <c r="BA11" i="4"/>
  <c r="BA28" i="4" s="1"/>
  <c r="AZ11" i="4"/>
  <c r="AZ28" i="4" s="1"/>
  <c r="BH11" i="4"/>
  <c r="BH28" i="4" s="1"/>
  <c r="BD11" i="4"/>
  <c r="BD28" i="4" s="1"/>
  <c r="BK11" i="4"/>
  <c r="BK28" i="4" s="1"/>
  <c r="BG11" i="4"/>
  <c r="BG28" i="4" s="1"/>
  <c r="BC11" i="4"/>
  <c r="BE11" i="4"/>
  <c r="BE28" i="4" s="1"/>
  <c r="AB20" i="4"/>
  <c r="BK12" i="4"/>
  <c r="BK29" i="4" s="1"/>
  <c r="BG12" i="4"/>
  <c r="BG29" i="4" s="1"/>
  <c r="BC12" i="4"/>
  <c r="BC29" i="4" s="1"/>
  <c r="AZ12" i="4"/>
  <c r="AZ29" i="4" s="1"/>
  <c r="BF12" i="4"/>
  <c r="BF29" i="4" s="1"/>
  <c r="BI12" i="4"/>
  <c r="BI29" i="4" s="1"/>
  <c r="BE12" i="4"/>
  <c r="BE29" i="4" s="1"/>
  <c r="BA12" i="4"/>
  <c r="BA29" i="4" s="1"/>
  <c r="BH12" i="4"/>
  <c r="BH29" i="4" s="1"/>
  <c r="BD12" i="4"/>
  <c r="BD29" i="4" s="1"/>
  <c r="BJ12" i="4"/>
  <c r="BJ29" i="4" s="1"/>
  <c r="BB12" i="4"/>
  <c r="BB29" i="4" s="1"/>
  <c r="BI6" i="4"/>
  <c r="BI23" i="4" s="1"/>
  <c r="BE6" i="4"/>
  <c r="BE23" i="4" s="1"/>
  <c r="BA6" i="4"/>
  <c r="BA23" i="4" s="1"/>
  <c r="AZ6" i="4"/>
  <c r="BH6" i="4"/>
  <c r="BH23" i="4" s="1"/>
  <c r="BD6" i="4"/>
  <c r="BK6" i="4"/>
  <c r="BK23" i="4" s="1"/>
  <c r="BG6" i="4"/>
  <c r="BG23" i="4" s="1"/>
  <c r="BC6" i="4"/>
  <c r="BC23" i="4" s="1"/>
  <c r="BJ6" i="4"/>
  <c r="BJ23" i="4" s="1"/>
  <c r="BF6" i="4"/>
  <c r="BF23" i="4" s="1"/>
  <c r="BB6" i="4"/>
  <c r="BB23" i="4" s="1"/>
  <c r="W20" i="4"/>
  <c r="BJ7" i="4"/>
  <c r="BJ24" i="4" s="1"/>
  <c r="BF7" i="4"/>
  <c r="BF24" i="4" s="1"/>
  <c r="BB7" i="4"/>
  <c r="BB24" i="4" s="1"/>
  <c r="BI7" i="4"/>
  <c r="BI24" i="4" s="1"/>
  <c r="BE7" i="4"/>
  <c r="BE24" i="4" s="1"/>
  <c r="BA7" i="4"/>
  <c r="BA24" i="4" s="1"/>
  <c r="BH7" i="4"/>
  <c r="BH24" i="4" s="1"/>
  <c r="BD7" i="4"/>
  <c r="BD24" i="4" s="1"/>
  <c r="BK7" i="4"/>
  <c r="BK24" i="4" s="1"/>
  <c r="BG7" i="4"/>
  <c r="BG24" i="4" s="1"/>
  <c r="BC7" i="4"/>
  <c r="BC24" i="4" s="1"/>
  <c r="AZ7" i="4"/>
  <c r="BA96" i="4"/>
  <c r="BI96" i="4"/>
  <c r="BD96" i="4"/>
  <c r="BF96" i="4"/>
  <c r="BG96" i="4"/>
  <c r="BE96" i="4"/>
  <c r="BC96" i="4"/>
  <c r="BH96" i="4"/>
  <c r="AZ96" i="4"/>
  <c r="BB96" i="4"/>
  <c r="BJ96" i="4"/>
  <c r="AH8" i="4"/>
  <c r="BK96" i="4"/>
  <c r="BE92" i="4"/>
  <c r="BF92" i="4"/>
  <c r="BG92" i="4"/>
  <c r="BD92" i="4"/>
  <c r="BH92" i="4"/>
  <c r="AZ92" i="4"/>
  <c r="BA92" i="4"/>
  <c r="BI92" i="4"/>
  <c r="BB92" i="4"/>
  <c r="BJ92" i="4"/>
  <c r="BC92" i="4"/>
  <c r="BK92" i="4"/>
  <c r="AZ69" i="4"/>
  <c r="BI69" i="4"/>
  <c r="BH69" i="4"/>
  <c r="BJ69" i="4"/>
  <c r="BK69" i="4"/>
  <c r="BA69" i="4"/>
  <c r="BB69" i="4"/>
  <c r="BC69" i="4"/>
  <c r="BD69" i="4"/>
  <c r="BE69" i="4"/>
  <c r="BF69" i="4"/>
  <c r="BG69" i="4"/>
  <c r="BC46" i="4"/>
  <c r="BB46" i="4"/>
  <c r="BA46" i="4"/>
  <c r="AZ46" i="4"/>
  <c r="BH46" i="4"/>
  <c r="BE46" i="4"/>
  <c r="BJ46" i="4"/>
  <c r="BG46" i="4"/>
  <c r="BI46" i="4"/>
  <c r="BF46" i="4"/>
  <c r="BK46" i="4"/>
  <c r="BD46" i="4"/>
  <c r="BF75" i="4"/>
  <c r="BH75" i="4"/>
  <c r="BB75" i="4"/>
  <c r="BJ75" i="4"/>
  <c r="BC75" i="4"/>
  <c r="BG75" i="4"/>
  <c r="BK75" i="4"/>
  <c r="AZ75" i="4"/>
  <c r="BD75" i="4"/>
  <c r="BA75" i="4"/>
  <c r="BE75" i="4"/>
  <c r="BI75" i="4"/>
  <c r="BA52" i="4"/>
  <c r="BE52" i="4"/>
  <c r="BI52" i="4"/>
  <c r="BD52" i="4"/>
  <c r="AZ52" i="4"/>
  <c r="BH52" i="4"/>
  <c r="BF52" i="4"/>
  <c r="BC52" i="4"/>
  <c r="BK52" i="4"/>
  <c r="BB52" i="4"/>
  <c r="BJ52" i="4"/>
  <c r="BG52" i="4"/>
  <c r="AH6" i="4"/>
  <c r="BH94" i="4"/>
  <c r="BG94" i="4"/>
  <c r="AZ94" i="4"/>
  <c r="BE94" i="4"/>
  <c r="BB94" i="4"/>
  <c r="BJ94" i="4"/>
  <c r="BD94" i="4"/>
  <c r="BC94" i="4"/>
  <c r="BK94" i="4"/>
  <c r="BA94" i="4"/>
  <c r="BI94" i="4"/>
  <c r="BF94" i="4"/>
  <c r="BK73" i="4"/>
  <c r="BG73" i="4"/>
  <c r="BC73" i="4"/>
  <c r="BJ73" i="4"/>
  <c r="BF73" i="4"/>
  <c r="BB73" i="4"/>
  <c r="BH73" i="4"/>
  <c r="BD73" i="4"/>
  <c r="AZ73" i="4"/>
  <c r="BI73" i="4"/>
  <c r="BE73" i="4"/>
  <c r="BA73" i="4"/>
  <c r="BA71" i="4"/>
  <c r="BI71" i="4"/>
  <c r="BH71" i="4"/>
  <c r="BB71" i="4"/>
  <c r="BF71" i="4"/>
  <c r="BJ71" i="4"/>
  <c r="BD71" i="4"/>
  <c r="BC71" i="4"/>
  <c r="BG71" i="4"/>
  <c r="BK71" i="4"/>
  <c r="BE71" i="4"/>
  <c r="AZ71" i="4"/>
  <c r="BH50" i="4"/>
  <c r="BD50" i="4"/>
  <c r="AZ50" i="4"/>
  <c r="BK50" i="4"/>
  <c r="BG50" i="4"/>
  <c r="BC50" i="4"/>
  <c r="BI50" i="4"/>
  <c r="BA50" i="4"/>
  <c r="BJ50" i="4"/>
  <c r="BF50" i="4"/>
  <c r="BB50" i="4"/>
  <c r="BE50" i="4"/>
  <c r="BD48" i="4"/>
  <c r="BC48" i="4"/>
  <c r="BG48" i="4"/>
  <c r="BE48" i="4"/>
  <c r="BK48" i="4"/>
  <c r="AZ48" i="4"/>
  <c r="BH48" i="4"/>
  <c r="BA48" i="4"/>
  <c r="BI48" i="4"/>
  <c r="BB48" i="4"/>
  <c r="BF48" i="4"/>
  <c r="BJ48" i="4"/>
  <c r="X4" i="4"/>
  <c r="AH4" i="4"/>
  <c r="AF20" i="4"/>
  <c r="V20" i="4"/>
  <c r="AC4" i="4"/>
  <c r="AA20" i="4"/>
  <c r="AZ18" i="4" l="1"/>
  <c r="AZ33" i="4"/>
  <c r="BL33" i="4" s="1"/>
  <c r="AZ24" i="4"/>
  <c r="BL24" i="4" s="1"/>
  <c r="BM24" i="4" s="1"/>
  <c r="BD8" i="4"/>
  <c r="BD23" i="4"/>
  <c r="AZ23" i="4"/>
  <c r="BL29" i="4"/>
  <c r="BM29" i="4" s="1"/>
  <c r="BC13" i="4"/>
  <c r="BC28" i="4"/>
  <c r="BL28" i="4" s="1"/>
  <c r="BL34" i="4"/>
  <c r="BM34" i="4" s="1"/>
  <c r="BH13" i="4"/>
  <c r="BH27" i="4" s="1"/>
  <c r="BB13" i="4"/>
  <c r="BB27" i="4" s="1"/>
  <c r="BH18" i="4"/>
  <c r="BC18" i="4"/>
  <c r="BC32" i="4" s="1"/>
  <c r="BC8" i="4"/>
  <c r="BC22" i="4" s="1"/>
  <c r="BH8" i="4"/>
  <c r="BI8" i="4"/>
  <c r="BI22" i="4" s="1"/>
  <c r="BG13" i="4"/>
  <c r="AZ13" i="4"/>
  <c r="AZ27" i="4" s="1"/>
  <c r="BF13" i="4"/>
  <c r="BF27" i="4" s="1"/>
  <c r="BA18" i="4"/>
  <c r="BG18" i="4"/>
  <c r="BG32" i="4" s="1"/>
  <c r="BB18" i="4"/>
  <c r="BE8" i="4"/>
  <c r="BE22" i="4" s="1"/>
  <c r="BB8" i="4"/>
  <c r="BG8" i="4"/>
  <c r="BG22" i="4" s="1"/>
  <c r="AZ8" i="4"/>
  <c r="BK13" i="4"/>
  <c r="BA13" i="4"/>
  <c r="BJ13" i="4"/>
  <c r="BJ27" i="4" s="1"/>
  <c r="BE18" i="4"/>
  <c r="BK18" i="4"/>
  <c r="BK32" i="4" s="1"/>
  <c r="BF18" i="4"/>
  <c r="BF32" i="4" s="1"/>
  <c r="BJ8" i="4"/>
  <c r="BF8" i="4"/>
  <c r="BK8" i="4"/>
  <c r="BK22" i="4" s="1"/>
  <c r="BA8" i="4"/>
  <c r="BA22" i="4" s="1"/>
  <c r="BE13" i="4"/>
  <c r="BD13" i="4"/>
  <c r="BD27" i="4" s="1"/>
  <c r="BI13" i="4"/>
  <c r="BI18" i="4"/>
  <c r="BD18" i="4"/>
  <c r="BD32" i="4" s="1"/>
  <c r="BD31" i="4" s="1"/>
  <c r="BD35" i="4" s="1"/>
  <c r="BJ18" i="4"/>
  <c r="BJ32" i="4" s="1"/>
  <c r="BL11" i="4"/>
  <c r="BM11" i="4" s="1"/>
  <c r="BL16" i="4"/>
  <c r="BM16" i="4" s="1"/>
  <c r="BL12" i="4"/>
  <c r="BM12" i="4" s="1"/>
  <c r="BL17" i="4"/>
  <c r="BM17" i="4" s="1"/>
  <c r="BL6" i="4"/>
  <c r="BM6" i="4" s="1"/>
  <c r="BL7" i="4"/>
  <c r="BM7" i="4" s="1"/>
  <c r="BL4" i="4"/>
  <c r="BM4" i="4" s="1"/>
  <c r="BH108" i="4"/>
  <c r="BH109" i="4" s="1"/>
  <c r="AH73" i="4" s="1"/>
  <c r="BJ108" i="4"/>
  <c r="BJ109" i="4" s="1"/>
  <c r="AL73" i="4" s="1"/>
  <c r="BG108" i="4"/>
  <c r="BG109" i="4" s="1"/>
  <c r="AG73" i="4" s="1"/>
  <c r="BB108" i="4"/>
  <c r="BB109" i="4" s="1"/>
  <c r="AB73" i="4" s="1"/>
  <c r="BI108" i="4"/>
  <c r="BI109" i="4" s="1"/>
  <c r="AI73" i="4" s="1"/>
  <c r="BE108" i="4"/>
  <c r="BE109" i="4" s="1"/>
  <c r="AE73" i="4" s="1"/>
  <c r="BF108" i="4"/>
  <c r="BF109" i="4" s="1"/>
  <c r="AF73" i="4" s="1"/>
  <c r="BC108" i="4"/>
  <c r="BC109" i="4" s="1"/>
  <c r="AC73" i="4" s="1"/>
  <c r="BK108" i="4"/>
  <c r="BK109" i="4" s="1"/>
  <c r="AO73" i="4" s="1"/>
  <c r="BC85" i="4"/>
  <c r="BC86" i="4" s="1"/>
  <c r="AC55" i="4" s="1"/>
  <c r="AZ85" i="4"/>
  <c r="AZ86" i="4" s="1"/>
  <c r="Z56" i="4" s="1"/>
  <c r="BK62" i="4"/>
  <c r="BK63" i="4" s="1"/>
  <c r="AO42" i="4" s="1"/>
  <c r="BJ62" i="4"/>
  <c r="BJ63" i="4" s="1"/>
  <c r="AL41" i="4" s="1"/>
  <c r="BF85" i="4"/>
  <c r="BF86" i="4" s="1"/>
  <c r="AF55" i="4" s="1"/>
  <c r="BA85" i="4"/>
  <c r="BA86" i="4" s="1"/>
  <c r="AA56" i="4" s="1"/>
  <c r="BB62" i="4"/>
  <c r="BB63" i="4" s="1"/>
  <c r="AB41" i="4" s="1"/>
  <c r="BE85" i="4"/>
  <c r="BE86" i="4" s="1"/>
  <c r="AE56" i="4" s="1"/>
  <c r="BD62" i="4"/>
  <c r="BD63" i="4" s="1"/>
  <c r="AD42" i="4" s="1"/>
  <c r="BF62" i="4"/>
  <c r="BF63" i="4" s="1"/>
  <c r="AF42" i="4" s="1"/>
  <c r="BK85" i="4"/>
  <c r="BK86" i="4" s="1"/>
  <c r="AO56" i="4" s="1"/>
  <c r="BD108" i="4"/>
  <c r="BD109" i="4" s="1"/>
  <c r="AD73" i="4" s="1"/>
  <c r="BG62" i="4"/>
  <c r="BG63" i="4" s="1"/>
  <c r="AG42" i="4" s="1"/>
  <c r="BE62" i="4"/>
  <c r="BE63" i="4" s="1"/>
  <c r="AE42" i="4" s="1"/>
  <c r="BH62" i="4"/>
  <c r="BH63" i="4" s="1"/>
  <c r="AH42" i="4" s="1"/>
  <c r="BH85" i="4"/>
  <c r="BH86" i="4" s="1"/>
  <c r="AH56" i="4" s="1"/>
  <c r="BI85" i="4"/>
  <c r="BI86" i="4" s="1"/>
  <c r="AI56" i="4" s="1"/>
  <c r="BJ85" i="4"/>
  <c r="BJ86" i="4" s="1"/>
  <c r="AL55" i="4" s="1"/>
  <c r="BI62" i="4"/>
  <c r="BI63" i="4" s="1"/>
  <c r="AI41" i="4" s="1"/>
  <c r="AZ108" i="4"/>
  <c r="AZ109" i="4" s="1"/>
  <c r="Z73" i="4" s="1"/>
  <c r="BA108" i="4"/>
  <c r="BA109" i="4" s="1"/>
  <c r="AA73" i="4" s="1"/>
  <c r="AZ62" i="4"/>
  <c r="BC62" i="4"/>
  <c r="BC63" i="4" s="1"/>
  <c r="AC41" i="4" s="1"/>
  <c r="BA62" i="4"/>
  <c r="BA63" i="4" s="1"/>
  <c r="AA41" i="4" s="1"/>
  <c r="BD85" i="4"/>
  <c r="BD86" i="4" s="1"/>
  <c r="AD56" i="4" s="1"/>
  <c r="BB85" i="4"/>
  <c r="BB86" i="4" s="1"/>
  <c r="AB56" i="4" s="1"/>
  <c r="BG85" i="4"/>
  <c r="BG86" i="4" s="1"/>
  <c r="AG55" i="4" s="1"/>
  <c r="AH20" i="4"/>
  <c r="AC20" i="4"/>
  <c r="X20" i="4"/>
  <c r="AZ22" i="4" l="1"/>
  <c r="AZ21" i="4" s="1"/>
  <c r="AZ32" i="4"/>
  <c r="AZ31" i="4" s="1"/>
  <c r="R32" i="4"/>
  <c r="R27" i="4"/>
  <c r="R37" i="4"/>
  <c r="AC62" i="4"/>
  <c r="AA76" i="4"/>
  <c r="AE48" i="4"/>
  <c r="AA62" i="4"/>
  <c r="AI62" i="4"/>
  <c r="AL76" i="4"/>
  <c r="AD48" i="4"/>
  <c r="AB48" i="4"/>
  <c r="AL48" i="4"/>
  <c r="AG62" i="4"/>
  <c r="AD62" i="4"/>
  <c r="AH48" i="4"/>
  <c r="AF76" i="4"/>
  <c r="AC76" i="4"/>
  <c r="AC48" i="4"/>
  <c r="AL62" i="4"/>
  <c r="AO76" i="4"/>
  <c r="AG48" i="4"/>
  <c r="AI76" i="4"/>
  <c r="AO48" i="4"/>
  <c r="AG76" i="4"/>
  <c r="AF62" i="4"/>
  <c r="AE76" i="4"/>
  <c r="AA48" i="4"/>
  <c r="AE62" i="4"/>
  <c r="AF48" i="4"/>
  <c r="Z62" i="4"/>
  <c r="AB76" i="4"/>
  <c r="AH76" i="4"/>
  <c r="AH62" i="4"/>
  <c r="AD76" i="4"/>
  <c r="AB62" i="4"/>
  <c r="AI48" i="4"/>
  <c r="AO62" i="4"/>
  <c r="Z76" i="4"/>
  <c r="Z61" i="4"/>
  <c r="AL47" i="4"/>
  <c r="AC75" i="4"/>
  <c r="AI47" i="4"/>
  <c r="AD75" i="4"/>
  <c r="AL61" i="4"/>
  <c r="Z75" i="4"/>
  <c r="AE61" i="4"/>
  <c r="AH47" i="4"/>
  <c r="AC61" i="4"/>
  <c r="AA47" i="4"/>
  <c r="AD61" i="4"/>
  <c r="AC47" i="4"/>
  <c r="AO75" i="4"/>
  <c r="AB47" i="4"/>
  <c r="AB75" i="4"/>
  <c r="AG61" i="4"/>
  <c r="AE75" i="4"/>
  <c r="AB61" i="4"/>
  <c r="AF75" i="4"/>
  <c r="AO61" i="4"/>
  <c r="AA61" i="4"/>
  <c r="AG47" i="4"/>
  <c r="AH75" i="4"/>
  <c r="AF47" i="4"/>
  <c r="AA75" i="4"/>
  <c r="AE47" i="4"/>
  <c r="AI75" i="4"/>
  <c r="AF61" i="4"/>
  <c r="AG75" i="4"/>
  <c r="AH61" i="4"/>
  <c r="AD47" i="4"/>
  <c r="AI61" i="4"/>
  <c r="AO47" i="4"/>
  <c r="AL75" i="4"/>
  <c r="AI46" i="4"/>
  <c r="AF60" i="4"/>
  <c r="AH46" i="4"/>
  <c r="AC60" i="4"/>
  <c r="Z74" i="4"/>
  <c r="Z60" i="4"/>
  <c r="AO74" i="4"/>
  <c r="AE46" i="4"/>
  <c r="AO60" i="4"/>
  <c r="AG46" i="4"/>
  <c r="AF74" i="4"/>
  <c r="AB46" i="4"/>
  <c r="AD60" i="4"/>
  <c r="AF46" i="4"/>
  <c r="AH60" i="4"/>
  <c r="AB74" i="4"/>
  <c r="AC46" i="4"/>
  <c r="AI74" i="4"/>
  <c r="AE60" i="4"/>
  <c r="AH74" i="4"/>
  <c r="AO46" i="4"/>
  <c r="AC74" i="4"/>
  <c r="AA46" i="4"/>
  <c r="AG60" i="4"/>
  <c r="AA60" i="4"/>
  <c r="AD74" i="4"/>
  <c r="AR73" i="4"/>
  <c r="AB30" i="4" s="1"/>
  <c r="AD46" i="4"/>
  <c r="AL60" i="4"/>
  <c r="AG74" i="4"/>
  <c r="AI60" i="4"/>
  <c r="AE74" i="4"/>
  <c r="AL46" i="4"/>
  <c r="AA74" i="4"/>
  <c r="AB60" i="4"/>
  <c r="AL74" i="4"/>
  <c r="AD59" i="4"/>
  <c r="AL45" i="4"/>
  <c r="AE45" i="4"/>
  <c r="AG59" i="4"/>
  <c r="AF59" i="4"/>
  <c r="AH45" i="4"/>
  <c r="AE59" i="4"/>
  <c r="AO45" i="4"/>
  <c r="AH59" i="4"/>
  <c r="AG45" i="4"/>
  <c r="AI45" i="4"/>
  <c r="AO59" i="4"/>
  <c r="AL59" i="4"/>
  <c r="AI59" i="4"/>
  <c r="AD45" i="4"/>
  <c r="Z59" i="4"/>
  <c r="AF45" i="4"/>
  <c r="AB45" i="4"/>
  <c r="AA45" i="4"/>
  <c r="AC59" i="4"/>
  <c r="AB59" i="4"/>
  <c r="AA59" i="4"/>
  <c r="AC45" i="4"/>
  <c r="AC69" i="4"/>
  <c r="AC72" i="4"/>
  <c r="AB69" i="4"/>
  <c r="AB72" i="4"/>
  <c r="AB58" i="4"/>
  <c r="AF44" i="4"/>
  <c r="AI58" i="4"/>
  <c r="AF58" i="4"/>
  <c r="AA58" i="4"/>
  <c r="AF69" i="4"/>
  <c r="AF72" i="4"/>
  <c r="AG69" i="4"/>
  <c r="AG72" i="4"/>
  <c r="AO58" i="4"/>
  <c r="AL44" i="4"/>
  <c r="AD44" i="4"/>
  <c r="AC58" i="4"/>
  <c r="AO44" i="4"/>
  <c r="AE44" i="4"/>
  <c r="AE69" i="4"/>
  <c r="AE72" i="4"/>
  <c r="AL69" i="4"/>
  <c r="AL72" i="4"/>
  <c r="AE58" i="4"/>
  <c r="AL58" i="4"/>
  <c r="AC44" i="4"/>
  <c r="AD58" i="4"/>
  <c r="AH58" i="4"/>
  <c r="AH44" i="4"/>
  <c r="AA69" i="4"/>
  <c r="AA72" i="4"/>
  <c r="Z69" i="4"/>
  <c r="Z72" i="4"/>
  <c r="AD69" i="4"/>
  <c r="AD72" i="4"/>
  <c r="AO69" i="4"/>
  <c r="AO72" i="4"/>
  <c r="AI69" i="4"/>
  <c r="AI72" i="4"/>
  <c r="AH69" i="4"/>
  <c r="AH72" i="4"/>
  <c r="AI44" i="4"/>
  <c r="Z58" i="4"/>
  <c r="AG44" i="4"/>
  <c r="AA44" i="4"/>
  <c r="AG58" i="4"/>
  <c r="AB44" i="4"/>
  <c r="BD26" i="4"/>
  <c r="BD30" i="4" s="1"/>
  <c r="BL23" i="4"/>
  <c r="BJ26" i="4"/>
  <c r="BJ30" i="4" s="1"/>
  <c r="BG21" i="4"/>
  <c r="BG25" i="4" s="1"/>
  <c r="BK27" i="4"/>
  <c r="BK26" i="4" s="1"/>
  <c r="BH22" i="4"/>
  <c r="BH21" i="4" s="1"/>
  <c r="BH25" i="4" s="1"/>
  <c r="BC27" i="4"/>
  <c r="BC26" i="4" s="1"/>
  <c r="BD22" i="4"/>
  <c r="BD21" i="4" s="1"/>
  <c r="BD25" i="4" s="1"/>
  <c r="BF22" i="4"/>
  <c r="BF21" i="4" s="1"/>
  <c r="BE32" i="4"/>
  <c r="BE31" i="4" s="1"/>
  <c r="BB32" i="4"/>
  <c r="BB31" i="4" s="1"/>
  <c r="AZ26" i="4"/>
  <c r="BA21" i="4"/>
  <c r="BA25" i="4" s="1"/>
  <c r="BE21" i="4"/>
  <c r="BE25" i="4" s="1"/>
  <c r="BC31" i="4"/>
  <c r="BC35" i="4" s="1"/>
  <c r="BI21" i="4"/>
  <c r="BI25" i="4" s="1"/>
  <c r="BI27" i="4"/>
  <c r="BI26" i="4" s="1"/>
  <c r="BE27" i="4"/>
  <c r="BE26" i="4" s="1"/>
  <c r="BJ22" i="4"/>
  <c r="BJ21" i="4" s="1"/>
  <c r="BG27" i="4"/>
  <c r="BG26" i="4" s="1"/>
  <c r="BG30" i="4" s="1"/>
  <c r="BJ31" i="4"/>
  <c r="BJ35" i="4" s="1"/>
  <c r="BK21" i="4"/>
  <c r="BK25" i="4" s="1"/>
  <c r="BF31" i="4"/>
  <c r="BF35" i="4" s="1"/>
  <c r="BH26" i="4"/>
  <c r="BH30" i="4" s="1"/>
  <c r="BG31" i="4"/>
  <c r="BG35" i="4" s="1"/>
  <c r="BC21" i="4"/>
  <c r="BC25" i="4" s="1"/>
  <c r="BI32" i="4"/>
  <c r="BI31" i="4" s="1"/>
  <c r="BA27" i="4"/>
  <c r="BA26" i="4" s="1"/>
  <c r="BB22" i="4"/>
  <c r="BB21" i="4" s="1"/>
  <c r="BB25" i="4" s="1"/>
  <c r="BA32" i="4"/>
  <c r="BA31" i="4" s="1"/>
  <c r="BH32" i="4"/>
  <c r="BH31" i="4" s="1"/>
  <c r="BK31" i="4"/>
  <c r="BK35" i="4" s="1"/>
  <c r="BF26" i="4"/>
  <c r="BF30" i="4" s="1"/>
  <c r="BB26" i="4"/>
  <c r="BB30" i="4" s="1"/>
  <c r="BL18" i="4"/>
  <c r="BM18" i="4" s="1"/>
  <c r="BL13" i="4"/>
  <c r="BM13" i="4" s="1"/>
  <c r="BL8" i="4"/>
  <c r="BM8" i="4" s="1"/>
  <c r="AD70" i="4"/>
  <c r="AB70" i="4"/>
  <c r="AI70" i="4"/>
  <c r="AE70" i="4"/>
  <c r="AL70" i="4"/>
  <c r="AO70" i="4"/>
  <c r="AC70" i="4"/>
  <c r="AH70" i="4"/>
  <c r="Z70" i="4"/>
  <c r="AG70" i="4"/>
  <c r="AF70" i="4"/>
  <c r="AA70" i="4"/>
  <c r="AG71" i="4"/>
  <c r="AF71" i="4"/>
  <c r="AI71" i="4"/>
  <c r="AC71" i="4"/>
  <c r="AA71" i="4"/>
  <c r="AE71" i="4"/>
  <c r="AL71" i="4"/>
  <c r="AB71" i="4"/>
  <c r="Z71" i="4"/>
  <c r="AD71" i="4"/>
  <c r="AH71" i="4"/>
  <c r="AO71" i="4"/>
  <c r="AC56" i="4"/>
  <c r="AL57" i="4"/>
  <c r="AF57" i="4"/>
  <c r="AI57" i="4"/>
  <c r="AI55" i="4"/>
  <c r="AD57" i="4"/>
  <c r="Z57" i="4"/>
  <c r="AC57" i="4"/>
  <c r="AF56" i="4"/>
  <c r="AA57" i="4"/>
  <c r="AG57" i="4"/>
  <c r="AH57" i="4"/>
  <c r="Z55" i="4"/>
  <c r="AL56" i="4"/>
  <c r="AO57" i="4"/>
  <c r="AB57" i="4"/>
  <c r="AE57" i="4"/>
  <c r="AH55" i="4"/>
  <c r="AO55" i="4"/>
  <c r="AA55" i="4"/>
  <c r="AG56" i="4"/>
  <c r="AB55" i="4"/>
  <c r="AD55" i="4"/>
  <c r="AE55" i="4"/>
  <c r="AD43" i="4"/>
  <c r="AH41" i="4"/>
  <c r="AI42" i="4"/>
  <c r="AO43" i="4"/>
  <c r="AH43" i="4"/>
  <c r="AA43" i="4"/>
  <c r="AG43" i="4"/>
  <c r="AC43" i="4"/>
  <c r="AE41" i="4"/>
  <c r="AE43" i="4"/>
  <c r="AL43" i="4"/>
  <c r="AF43" i="4"/>
  <c r="AF41" i="4"/>
  <c r="AB42" i="4"/>
  <c r="AI43" i="4"/>
  <c r="AB43" i="4"/>
  <c r="AO41" i="4"/>
  <c r="AD41" i="4"/>
  <c r="AG41" i="4"/>
  <c r="AC42" i="4"/>
  <c r="AL42" i="4"/>
  <c r="AA42" i="4"/>
  <c r="AB78" i="4"/>
  <c r="AF78" i="4"/>
  <c r="AG78" i="4"/>
  <c r="AA78" i="4"/>
  <c r="AE78" i="4"/>
  <c r="AL78" i="4"/>
  <c r="AC78" i="4"/>
  <c r="Z78" i="4"/>
  <c r="AD78" i="4"/>
  <c r="AO78" i="4"/>
  <c r="AI78" i="4"/>
  <c r="AH78" i="4"/>
  <c r="AO64" i="4"/>
  <c r="AB64" i="4"/>
  <c r="AL64" i="4"/>
  <c r="AA64" i="4"/>
  <c r="Z64" i="4"/>
  <c r="AG64" i="4"/>
  <c r="AD64" i="4"/>
  <c r="AI64" i="4"/>
  <c r="AF64" i="4"/>
  <c r="AC64" i="4"/>
  <c r="AH64" i="4"/>
  <c r="AE64" i="4"/>
  <c r="AG50" i="4"/>
  <c r="AD50" i="4"/>
  <c r="AF50" i="4"/>
  <c r="AL50" i="4"/>
  <c r="AE50" i="4"/>
  <c r="AA50" i="4"/>
  <c r="AC50" i="4"/>
  <c r="AI50" i="4"/>
  <c r="AH50" i="4"/>
  <c r="AB50" i="4"/>
  <c r="AO50" i="4"/>
  <c r="AZ63" i="4"/>
  <c r="Z48" i="4" s="1"/>
  <c r="I28" i="3" l="1"/>
  <c r="I29" i="3"/>
  <c r="AR58" i="4"/>
  <c r="AA29" i="4" s="1"/>
  <c r="AR48" i="4"/>
  <c r="Z33" i="4" s="1"/>
  <c r="AA49" i="4"/>
  <c r="AR76" i="4"/>
  <c r="AB33" i="4" s="1"/>
  <c r="AR62" i="4"/>
  <c r="AA33" i="4" s="1"/>
  <c r="AR75" i="4"/>
  <c r="AB32" i="4" s="1"/>
  <c r="Z46" i="4"/>
  <c r="AR46" i="4" s="1"/>
  <c r="Z31" i="4" s="1"/>
  <c r="Z47" i="4"/>
  <c r="AR47" i="4" s="1"/>
  <c r="Z32" i="4" s="1"/>
  <c r="AR61" i="4"/>
  <c r="AA32" i="4" s="1"/>
  <c r="AR60" i="4"/>
  <c r="AA31" i="4" s="1"/>
  <c r="AR74" i="4"/>
  <c r="AB31" i="4" s="1"/>
  <c r="AR59" i="4"/>
  <c r="AA30" i="4" s="1"/>
  <c r="Z44" i="4"/>
  <c r="AR44" i="4" s="1"/>
  <c r="Z29" i="4" s="1"/>
  <c r="Z45" i="4"/>
  <c r="AR45" i="4" s="1"/>
  <c r="Z30" i="4" s="1"/>
  <c r="AR72" i="4"/>
  <c r="AB29" i="4" s="1"/>
  <c r="AC49" i="4"/>
  <c r="AL63" i="4"/>
  <c r="AO63" i="4"/>
  <c r="Z77" i="4"/>
  <c r="BI35" i="4"/>
  <c r="BB35" i="4"/>
  <c r="BE35" i="4"/>
  <c r="BA35" i="4"/>
  <c r="BL32" i="4"/>
  <c r="BM32" i="4" s="1"/>
  <c r="BL22" i="4"/>
  <c r="BM22" i="4" s="1"/>
  <c r="BJ25" i="4"/>
  <c r="BI30" i="4"/>
  <c r="BF25" i="4"/>
  <c r="BL27" i="4"/>
  <c r="BM27" i="4" s="1"/>
  <c r="BA30" i="4"/>
  <c r="AZ35" i="4"/>
  <c r="BL31" i="4"/>
  <c r="BM31" i="4" s="1"/>
  <c r="BE30" i="4"/>
  <c r="BH35" i="4"/>
  <c r="AZ30" i="4"/>
  <c r="BL26" i="4"/>
  <c r="BM26" i="4" s="1"/>
  <c r="BC30" i="4"/>
  <c r="BK30" i="4"/>
  <c r="BL21" i="4"/>
  <c r="BM21" i="4" s="1"/>
  <c r="AZ25" i="4"/>
  <c r="AI77" i="4"/>
  <c r="AB77" i="4"/>
  <c r="AG49" i="4"/>
  <c r="AC77" i="4"/>
  <c r="AD77" i="4"/>
  <c r="AL77" i="4"/>
  <c r="AE77" i="4"/>
  <c r="AF77" i="4"/>
  <c r="AH77" i="4"/>
  <c r="AA77" i="4"/>
  <c r="AG77" i="4"/>
  <c r="AR70" i="4"/>
  <c r="AB27" i="4" s="1"/>
  <c r="AR71" i="4"/>
  <c r="AB28" i="4" s="1"/>
  <c r="AO77" i="4"/>
  <c r="AD49" i="4"/>
  <c r="AE63" i="4"/>
  <c r="AC63" i="4"/>
  <c r="AA63" i="4"/>
  <c r="AD63" i="4"/>
  <c r="AG63" i="4"/>
  <c r="AF63" i="4"/>
  <c r="AB63" i="4"/>
  <c r="AH63" i="4"/>
  <c r="Z63" i="4"/>
  <c r="AI63" i="4"/>
  <c r="AL49" i="4"/>
  <c r="AR56" i="4"/>
  <c r="AA27" i="4" s="1"/>
  <c r="AB49" i="4"/>
  <c r="AO49" i="4"/>
  <c r="AF49" i="4"/>
  <c r="AH49" i="4"/>
  <c r="AR57" i="4"/>
  <c r="AA28" i="4" s="1"/>
  <c r="AI49" i="4"/>
  <c r="AE49" i="4"/>
  <c r="Z43" i="4"/>
  <c r="AR43" i="4" s="1"/>
  <c r="Z28" i="4" s="1"/>
  <c r="Z50" i="4"/>
  <c r="I27" i="3" s="1"/>
  <c r="Z42" i="4"/>
  <c r="AR42" i="4" s="1"/>
  <c r="Z27" i="4" s="1"/>
  <c r="Z41" i="4"/>
  <c r="AR69" i="4"/>
  <c r="AR55" i="4"/>
  <c r="I26" i="3" l="1"/>
  <c r="R30" i="4"/>
  <c r="U30" i="4" s="1"/>
  <c r="R35" i="4"/>
  <c r="U35" i="4" s="1"/>
  <c r="AC33" i="4"/>
  <c r="AA80" i="4"/>
  <c r="L26" i="3" s="1"/>
  <c r="AC30" i="4"/>
  <c r="AC31" i="4"/>
  <c r="AC32" i="4"/>
  <c r="AC29" i="4"/>
  <c r="AL80" i="4"/>
  <c r="AI80" i="4"/>
  <c r="BL25" i="4"/>
  <c r="BM25" i="4" s="1"/>
  <c r="BM23" i="4" s="1"/>
  <c r="BL35" i="4"/>
  <c r="BM35" i="4" s="1"/>
  <c r="BM33" i="4" s="1"/>
  <c r="BL30" i="4"/>
  <c r="BM30" i="4" s="1"/>
  <c r="BM28" i="4" s="1"/>
  <c r="AC80" i="4"/>
  <c r="L28" i="3" s="1"/>
  <c r="AD80" i="4"/>
  <c r="L29" i="3" s="1"/>
  <c r="AG80" i="4"/>
  <c r="AH80" i="4"/>
  <c r="AO80" i="4"/>
  <c r="AE80" i="4"/>
  <c r="L30" i="3" s="1"/>
  <c r="AC28" i="4"/>
  <c r="AF80" i="4"/>
  <c r="AB80" i="4"/>
  <c r="L27" i="3" s="1"/>
  <c r="AB26" i="4"/>
  <c r="AR77" i="4"/>
  <c r="AC27" i="4"/>
  <c r="AA26" i="4"/>
  <c r="AR63" i="4"/>
  <c r="Z49" i="4"/>
  <c r="Z80" i="4" s="1"/>
  <c r="L25" i="3" s="1"/>
  <c r="AR41" i="4"/>
  <c r="AR49" i="4" s="1"/>
  <c r="BN23" i="4" l="1"/>
  <c r="R26" i="4"/>
  <c r="BN28" i="4"/>
  <c r="R31" i="4"/>
  <c r="BN33" i="4"/>
  <c r="R36" i="4"/>
  <c r="R34" i="4"/>
  <c r="U34" i="4" s="1"/>
  <c r="R29" i="4"/>
  <c r="U29" i="4" s="1"/>
  <c r="R25" i="4"/>
  <c r="U25" i="4" s="1"/>
  <c r="AR80" i="4"/>
  <c r="Z26" i="4"/>
  <c r="Z34" i="4" s="1"/>
  <c r="AB34" i="4"/>
  <c r="AA34" i="4"/>
  <c r="R38" i="4" l="1"/>
  <c r="H29" i="3" s="1"/>
  <c r="H41" i="3" s="1"/>
  <c r="R33" i="4"/>
  <c r="H28" i="3" s="1"/>
  <c r="H40" i="3" s="1"/>
  <c r="R24" i="4"/>
  <c r="U24" i="4" s="1"/>
  <c r="P41" i="4" s="1"/>
  <c r="AC26" i="4"/>
  <c r="AC34" i="4" s="1"/>
  <c r="R28" i="4" l="1"/>
  <c r="H27" i="3" s="1"/>
  <c r="H30" i="3" s="1"/>
  <c r="R39" i="4" l="1"/>
  <c r="H39" i="3"/>
  <c r="H42" i="3" s="1"/>
</calcChain>
</file>

<file path=xl/comments1.xml><?xml version="1.0" encoding="utf-8"?>
<comments xmlns="http://schemas.openxmlformats.org/spreadsheetml/2006/main">
  <authors>
    <author>takasaki</author>
  </authors>
  <commentList>
    <comment ref="AW2" authorId="0" shapeId="0">
      <text>
        <r>
          <rPr>
            <sz val="11"/>
            <color indexed="81"/>
            <rFont val="ＭＳ 明朝"/>
            <family val="1"/>
            <charset val="128"/>
          </rPr>
          <t>被保険者毎の加入月を算出（軽減判定用の賦課期日算出用）</t>
        </r>
      </text>
    </comment>
    <comment ref="AI20" authorId="0" shapeId="0">
      <text>
        <r>
          <rPr>
            <sz val="12"/>
            <color indexed="81"/>
            <rFont val="ＭＳ 明朝"/>
            <family val="1"/>
            <charset val="128"/>
          </rPr>
          <t>医療分の平等割を算出する用の加入月数</t>
        </r>
      </text>
    </comment>
    <comment ref="AW20" authorId="0" shapeId="0">
      <text>
        <r>
          <rPr>
            <sz val="12"/>
            <color indexed="81"/>
            <rFont val="ＭＳ 明朝"/>
            <family val="1"/>
            <charset val="128"/>
          </rPr>
          <t>軽減判定で利用する計算上の賦課期日</t>
        </r>
      </text>
    </comment>
    <comment ref="AI21" authorId="0" shapeId="0">
      <text>
        <r>
          <rPr>
            <sz val="12"/>
            <color indexed="81"/>
            <rFont val="ＭＳ 明朝"/>
            <family val="1"/>
            <charset val="128"/>
          </rPr>
          <t>介護分の平等割を算出する用の加入月数</t>
        </r>
      </text>
    </comment>
    <comment ref="AW22" authorId="0" shapeId="0">
      <text>
        <r>
          <rPr>
            <sz val="12"/>
            <color indexed="81"/>
            <rFont val="ＭＳ 明朝"/>
            <family val="1"/>
            <charset val="128"/>
          </rPr>
          <t>軽減判定で利用する計算上の賦課期日現在の被保険者数</t>
        </r>
      </text>
    </comment>
    <comment ref="L47" authorId="0" shapeId="0">
      <text>
        <r>
          <rPr>
            <sz val="12"/>
            <color indexed="81"/>
            <rFont val="ＭＳ 明朝"/>
            <family val="1"/>
            <charset val="128"/>
          </rPr>
          <t>軽減判定で加入期間に中抜けがあるかチェック</t>
        </r>
      </text>
    </comment>
  </commentList>
</comments>
</file>

<file path=xl/sharedStrings.xml><?xml version="1.0" encoding="utf-8"?>
<sst xmlns="http://schemas.openxmlformats.org/spreadsheetml/2006/main" count="769" uniqueCount="215">
  <si>
    <t>所得割（％）</t>
    <rPh sb="0" eb="2">
      <t>ショトク</t>
    </rPh>
    <rPh sb="2" eb="3">
      <t>ワリ</t>
    </rPh>
    <phoneticPr fontId="2"/>
  </si>
  <si>
    <t>資産割（％）</t>
    <rPh sb="0" eb="2">
      <t>シサン</t>
    </rPh>
    <rPh sb="2" eb="3">
      <t>ワリ</t>
    </rPh>
    <phoneticPr fontId="2"/>
  </si>
  <si>
    <t>均等割（円）</t>
    <rPh sb="0" eb="3">
      <t>キントウワ</t>
    </rPh>
    <rPh sb="4" eb="5">
      <t>エン</t>
    </rPh>
    <phoneticPr fontId="2"/>
  </si>
  <si>
    <t>平等割（円）</t>
    <rPh sb="0" eb="2">
      <t>ビョウドウ</t>
    </rPh>
    <rPh sb="2" eb="3">
      <t>ワリ</t>
    </rPh>
    <rPh sb="4" eb="5">
      <t>エン</t>
    </rPh>
    <phoneticPr fontId="2"/>
  </si>
  <si>
    <t>医療分</t>
    <rPh sb="0" eb="2">
      <t>イリョウ</t>
    </rPh>
    <rPh sb="2" eb="3">
      <t>ブン</t>
    </rPh>
    <phoneticPr fontId="2"/>
  </si>
  <si>
    <t>介護分</t>
    <rPh sb="0" eb="2">
      <t>カイゴ</t>
    </rPh>
    <rPh sb="2" eb="3">
      <t>ブン</t>
    </rPh>
    <phoneticPr fontId="2"/>
  </si>
  <si>
    <t>後期支援分</t>
    <rPh sb="0" eb="2">
      <t>コウキ</t>
    </rPh>
    <rPh sb="2" eb="4">
      <t>シエン</t>
    </rPh>
    <rPh sb="4" eb="5">
      <t>ブン</t>
    </rPh>
    <phoneticPr fontId="2"/>
  </si>
  <si>
    <t>最高限度額（円）</t>
    <rPh sb="0" eb="2">
      <t>サイコウ</t>
    </rPh>
    <rPh sb="2" eb="4">
      <t>ゲンド</t>
    </rPh>
    <rPh sb="4" eb="5">
      <t>ガク</t>
    </rPh>
    <rPh sb="6" eb="7">
      <t>エン</t>
    </rPh>
    <phoneticPr fontId="2"/>
  </si>
  <si>
    <t>その他所得</t>
    <rPh sb="2" eb="3">
      <t>タ</t>
    </rPh>
    <rPh sb="3" eb="5">
      <t>ショトク</t>
    </rPh>
    <phoneticPr fontId="2"/>
  </si>
  <si>
    <t>申告区分</t>
    <rPh sb="0" eb="2">
      <t>シンコク</t>
    </rPh>
    <rPh sb="2" eb="4">
      <t>クブン</t>
    </rPh>
    <phoneticPr fontId="2"/>
  </si>
  <si>
    <t>年度</t>
    <rPh sb="0" eb="2">
      <t>ネンド</t>
    </rPh>
    <phoneticPr fontId="2"/>
  </si>
  <si>
    <t>基本</t>
    <rPh sb="0" eb="2">
      <t>キホン</t>
    </rPh>
    <phoneticPr fontId="2"/>
  </si>
  <si>
    <t>加算</t>
    <rPh sb="0" eb="2">
      <t>カサン</t>
    </rPh>
    <phoneticPr fontId="2"/>
  </si>
  <si>
    <t>率</t>
    <rPh sb="0" eb="1">
      <t>リツ</t>
    </rPh>
    <phoneticPr fontId="2"/>
  </si>
  <si>
    <t>備考</t>
    <rPh sb="0" eb="2">
      <t>ビコウ</t>
    </rPh>
    <phoneticPr fontId="2"/>
  </si>
  <si>
    <t>給与所得</t>
    <rPh sb="0" eb="2">
      <t>キュウヨ</t>
    </rPh>
    <rPh sb="2" eb="4">
      <t>ショトク</t>
    </rPh>
    <phoneticPr fontId="2"/>
  </si>
  <si>
    <t>年金所得</t>
    <rPh sb="0" eb="2">
      <t>ネンキン</t>
    </rPh>
    <rPh sb="2" eb="4">
      <t>ショトク</t>
    </rPh>
    <phoneticPr fontId="2"/>
  </si>
  <si>
    <t>所得計</t>
    <rPh sb="0" eb="2">
      <t>ショトク</t>
    </rPh>
    <rPh sb="2" eb="3">
      <t>ケイ</t>
    </rPh>
    <phoneticPr fontId="2"/>
  </si>
  <si>
    <t>収入の範囲</t>
    <rPh sb="0" eb="2">
      <t>シュウニュウ</t>
    </rPh>
    <rPh sb="3" eb="5">
      <t>ハンイ</t>
    </rPh>
    <phoneticPr fontId="2"/>
  </si>
  <si>
    <t>給与所得控除の計算式</t>
    <rPh sb="0" eb="2">
      <t>キュウヨ</t>
    </rPh>
    <rPh sb="2" eb="4">
      <t>ショトク</t>
    </rPh>
    <rPh sb="4" eb="6">
      <t>コウジョ</t>
    </rPh>
    <rPh sb="7" eb="9">
      <t>ケイサン</t>
    </rPh>
    <rPh sb="9" eb="10">
      <t>シキ</t>
    </rPh>
    <phoneticPr fontId="2"/>
  </si>
  <si>
    <t>控除額</t>
    <rPh sb="0" eb="2">
      <t>コウジョ</t>
    </rPh>
    <rPh sb="2" eb="3">
      <t>ガク</t>
    </rPh>
    <phoneticPr fontId="2"/>
  </si>
  <si>
    <t>65歳未満</t>
    <rPh sb="2" eb="3">
      <t>サイ</t>
    </rPh>
    <rPh sb="3" eb="5">
      <t>ミマン</t>
    </rPh>
    <phoneticPr fontId="2"/>
  </si>
  <si>
    <t>65歳以上</t>
    <rPh sb="2" eb="3">
      <t>サイ</t>
    </rPh>
    <rPh sb="3" eb="5">
      <t>イジョウ</t>
    </rPh>
    <phoneticPr fontId="2"/>
  </si>
  <si>
    <t>介護
課税標準</t>
    <rPh sb="0" eb="2">
      <t>カイゴ</t>
    </rPh>
    <rPh sb="3" eb="5">
      <t>カゼイ</t>
    </rPh>
    <rPh sb="5" eb="7">
      <t>ヒョウジュン</t>
    </rPh>
    <phoneticPr fontId="2"/>
  </si>
  <si>
    <t>所得割</t>
    <rPh sb="0" eb="2">
      <t>ショトク</t>
    </rPh>
    <rPh sb="2" eb="3">
      <t>ワリ</t>
    </rPh>
    <phoneticPr fontId="2"/>
  </si>
  <si>
    <t>資産割</t>
    <rPh sb="0" eb="2">
      <t>シサン</t>
    </rPh>
    <rPh sb="2" eb="3">
      <t>ワリ</t>
    </rPh>
    <phoneticPr fontId="2"/>
  </si>
  <si>
    <t>均等割</t>
    <rPh sb="0" eb="3">
      <t>キントウワリ</t>
    </rPh>
    <phoneticPr fontId="2"/>
  </si>
  <si>
    <t>平等割</t>
    <rPh sb="0" eb="2">
      <t>ビョウドウ</t>
    </rPh>
    <rPh sb="2" eb="3">
      <t>ワリ</t>
    </rPh>
    <phoneticPr fontId="2"/>
  </si>
  <si>
    <t>後期支援金</t>
    <rPh sb="0" eb="2">
      <t>コウキ</t>
    </rPh>
    <rPh sb="2" eb="5">
      <t>シエンキン</t>
    </rPh>
    <phoneticPr fontId="2"/>
  </si>
  <si>
    <t>支援金</t>
    <rPh sb="0" eb="3">
      <t>シエンキン</t>
    </rPh>
    <phoneticPr fontId="2"/>
  </si>
  <si>
    <t>介護</t>
    <rPh sb="0" eb="2">
      <t>カイゴ</t>
    </rPh>
    <phoneticPr fontId="2"/>
  </si>
  <si>
    <t>医療分年税額</t>
    <rPh sb="0" eb="2">
      <t>イリョウ</t>
    </rPh>
    <rPh sb="2" eb="3">
      <t>ブン</t>
    </rPh>
    <rPh sb="3" eb="4">
      <t>ネン</t>
    </rPh>
    <rPh sb="4" eb="6">
      <t>ゼイガク</t>
    </rPh>
    <phoneticPr fontId="2"/>
  </si>
  <si>
    <t>介護分年税額</t>
    <rPh sb="0" eb="2">
      <t>カイゴ</t>
    </rPh>
    <rPh sb="2" eb="3">
      <t>ブン</t>
    </rPh>
    <rPh sb="3" eb="6">
      <t>ネンゼイガク</t>
    </rPh>
    <phoneticPr fontId="2"/>
  </si>
  <si>
    <t>支援金分年税額</t>
    <rPh sb="0" eb="2">
      <t>シエン</t>
    </rPh>
    <rPh sb="2" eb="3">
      <t>キン</t>
    </rPh>
    <rPh sb="3" eb="4">
      <t>ブン</t>
    </rPh>
    <rPh sb="4" eb="7">
      <t>ネンゼイガク</t>
    </rPh>
    <phoneticPr fontId="2"/>
  </si>
  <si>
    <t>　　 詳細については、保険年金課　資格賦課担当までご連絡ください。</t>
    <rPh sb="11" eb="13">
      <t>ホケン</t>
    </rPh>
    <rPh sb="13" eb="15">
      <t>ネンキン</t>
    </rPh>
    <rPh sb="15" eb="16">
      <t>カ</t>
    </rPh>
    <rPh sb="17" eb="19">
      <t>シカク</t>
    </rPh>
    <rPh sb="19" eb="21">
      <t>フカ</t>
    </rPh>
    <phoneticPr fontId="2"/>
  </si>
  <si>
    <t>※下記の点に注意して入力してください。</t>
    <rPh sb="1" eb="3">
      <t>カキ</t>
    </rPh>
    <rPh sb="4" eb="5">
      <t>テン</t>
    </rPh>
    <rPh sb="6" eb="8">
      <t>チュウイ</t>
    </rPh>
    <rPh sb="10" eb="12">
      <t>ニュウリョク</t>
    </rPh>
    <phoneticPr fontId="2"/>
  </si>
  <si>
    <t>計</t>
    <rPh sb="0" eb="1">
      <t>ケイ</t>
    </rPh>
    <phoneticPr fontId="2"/>
  </si>
  <si>
    <t>世帯主の
保険証種別</t>
    <rPh sb="0" eb="3">
      <t>セタイヌシ</t>
    </rPh>
    <rPh sb="5" eb="8">
      <t>ホケンショウ</t>
    </rPh>
    <rPh sb="8" eb="10">
      <t>シュベツ</t>
    </rPh>
    <phoneticPr fontId="2"/>
  </si>
  <si>
    <t>②給与収入</t>
    <rPh sb="1" eb="3">
      <t>キュウヨ</t>
    </rPh>
    <rPh sb="3" eb="5">
      <t>シュウニュウ</t>
    </rPh>
    <phoneticPr fontId="2"/>
  </si>
  <si>
    <t>③年金収入</t>
    <rPh sb="1" eb="3">
      <t>ネンキン</t>
    </rPh>
    <rPh sb="3" eb="5">
      <t>シュウニュウ</t>
    </rPh>
    <phoneticPr fontId="2"/>
  </si>
  <si>
    <t>④その他
所得</t>
    <rPh sb="3" eb="4">
      <t>タ</t>
    </rPh>
    <rPh sb="5" eb="7">
      <t>ショトク</t>
    </rPh>
    <phoneticPr fontId="2"/>
  </si>
  <si>
    <t>⑤固定
資産税額</t>
    <rPh sb="1" eb="3">
      <t>コテイ</t>
    </rPh>
    <rPh sb="4" eb="6">
      <t>シサン</t>
    </rPh>
    <rPh sb="6" eb="8">
      <t>ゼイガク</t>
    </rPh>
    <phoneticPr fontId="2"/>
  </si>
  <si>
    <t>世帯主及び
国保加入者
の申告状況</t>
    <rPh sb="0" eb="3">
      <t>セタイヌシ</t>
    </rPh>
    <rPh sb="3" eb="4">
      <t>オヨ</t>
    </rPh>
    <rPh sb="6" eb="8">
      <t>コクホ</t>
    </rPh>
    <rPh sb="8" eb="11">
      <t>カニュウシャ</t>
    </rPh>
    <rPh sb="13" eb="15">
      <t>シンコク</t>
    </rPh>
    <rPh sb="15" eb="17">
      <t>ジョウキョウ</t>
    </rPh>
    <phoneticPr fontId="2"/>
  </si>
  <si>
    <t>軽減該当要件</t>
    <rPh sb="0" eb="2">
      <t>ケイゲン</t>
    </rPh>
    <rPh sb="2" eb="4">
      <t>ガイトウ</t>
    </rPh>
    <rPh sb="4" eb="6">
      <t>ヨウケン</t>
    </rPh>
    <phoneticPr fontId="2"/>
  </si>
  <si>
    <t>軽減判定
所得合計</t>
    <rPh sb="0" eb="2">
      <t>ケイゲン</t>
    </rPh>
    <rPh sb="2" eb="4">
      <t>ハンテイ</t>
    </rPh>
    <rPh sb="5" eb="7">
      <t>ショトク</t>
    </rPh>
    <rPh sb="7" eb="9">
      <t>ゴウケイ</t>
    </rPh>
    <phoneticPr fontId="2"/>
  </si>
  <si>
    <t>年　税　額</t>
    <rPh sb="0" eb="1">
      <t>トシ</t>
    </rPh>
    <rPh sb="2" eb="3">
      <t>ゼイ</t>
    </rPh>
    <rPh sb="4" eb="5">
      <t>ガク</t>
    </rPh>
    <phoneticPr fontId="2"/>
  </si>
  <si>
    <r>
      <t>　　 計算結果は</t>
    </r>
    <r>
      <rPr>
        <b/>
        <sz val="11"/>
        <color indexed="53"/>
        <rFont val="ＭＳ Ｐゴシック"/>
        <family val="3"/>
        <charset val="128"/>
      </rPr>
      <t>概算</t>
    </r>
    <r>
      <rPr>
        <b/>
        <sz val="11"/>
        <color indexed="18"/>
        <rFont val="ＭＳ Ｐゴシック"/>
        <family val="3"/>
        <charset val="128"/>
      </rPr>
      <t>となります。実際の税額と違う場合があります。</t>
    </r>
    <rPh sb="3" eb="5">
      <t>ケイサン</t>
    </rPh>
    <rPh sb="5" eb="7">
      <t>ケッカ</t>
    </rPh>
    <phoneticPr fontId="2"/>
  </si>
  <si>
    <r>
      <t>※　この計算は</t>
    </r>
    <r>
      <rPr>
        <b/>
        <u/>
        <sz val="12"/>
        <color indexed="10"/>
        <rFont val="ＭＳ Ｐゴシック"/>
        <family val="3"/>
        <charset val="128"/>
      </rPr>
      <t>分離譲渡所得等</t>
    </r>
    <r>
      <rPr>
        <b/>
        <sz val="11"/>
        <color indexed="18"/>
        <rFont val="ＭＳ Ｐゴシック"/>
        <family val="3"/>
        <charset val="128"/>
      </rPr>
      <t>の申告がある場合には使えません。</t>
    </r>
    <rPh sb="4" eb="6">
      <t>ケイサン</t>
    </rPh>
    <rPh sb="7" eb="9">
      <t>ブンリ</t>
    </rPh>
    <rPh sb="9" eb="11">
      <t>ジョウト</t>
    </rPh>
    <rPh sb="11" eb="13">
      <t>ショトク</t>
    </rPh>
    <rPh sb="13" eb="14">
      <t>トウ</t>
    </rPh>
    <rPh sb="15" eb="17">
      <t>シンコク</t>
    </rPh>
    <rPh sb="20" eb="22">
      <t>バアイ</t>
    </rPh>
    <rPh sb="24" eb="25">
      <t>ツカ</t>
    </rPh>
    <phoneticPr fontId="2"/>
  </si>
  <si>
    <t>国保加入者数</t>
    <rPh sb="0" eb="2">
      <t>コクホ</t>
    </rPh>
    <rPh sb="2" eb="4">
      <t>カニュウ</t>
    </rPh>
    <rPh sb="4" eb="5">
      <t>シャ</t>
    </rPh>
    <rPh sb="5" eb="6">
      <t>カズ</t>
    </rPh>
    <phoneticPr fontId="2"/>
  </si>
  <si>
    <t>年齢区分</t>
    <rPh sb="0" eb="2">
      <t>ネンレイ</t>
    </rPh>
    <rPh sb="2" eb="4">
      <t>クブン</t>
    </rPh>
    <phoneticPr fontId="2"/>
  </si>
  <si>
    <t>給与収入</t>
    <rPh sb="0" eb="2">
      <t>キュウヨ</t>
    </rPh>
    <rPh sb="2" eb="4">
      <t>シュウニュウ</t>
    </rPh>
    <phoneticPr fontId="2"/>
  </si>
  <si>
    <t>年金収入</t>
    <rPh sb="0" eb="2">
      <t>ネンキン</t>
    </rPh>
    <rPh sb="2" eb="4">
      <t>シュウニュウ</t>
    </rPh>
    <phoneticPr fontId="2"/>
  </si>
  <si>
    <t>年金軽減判定加算額</t>
    <rPh sb="0" eb="2">
      <t>ネンキン</t>
    </rPh>
    <rPh sb="2" eb="4">
      <t>ケイゲン</t>
    </rPh>
    <rPh sb="4" eb="6">
      <t>ハンテイ</t>
    </rPh>
    <rPh sb="6" eb="9">
      <t>カサンガク</t>
    </rPh>
    <phoneticPr fontId="2"/>
  </si>
  <si>
    <t>医療</t>
    <rPh sb="0" eb="2">
      <t>イリョウ</t>
    </rPh>
    <phoneticPr fontId="2"/>
  </si>
  <si>
    <t>後期</t>
    <rPh sb="0" eb="2">
      <t>コウキ</t>
    </rPh>
    <phoneticPr fontId="2"/>
  </si>
  <si>
    <t>保険税（調整後数値）</t>
    <rPh sb="0" eb="2">
      <t>ホケン</t>
    </rPh>
    <rPh sb="2" eb="3">
      <t>ゼイ</t>
    </rPh>
    <rPh sb="4" eb="6">
      <t>チョウセイ</t>
    </rPh>
    <rPh sb="6" eb="7">
      <t>アト</t>
    </rPh>
    <rPh sb="7" eb="9">
      <t>スウチ</t>
    </rPh>
    <phoneticPr fontId="2"/>
  </si>
  <si>
    <t>年齢
区分</t>
    <rPh sb="0" eb="2">
      <t>ネンレイ</t>
    </rPh>
    <rPh sb="3" eb="5">
      <t>クブン</t>
    </rPh>
    <phoneticPr fontId="2"/>
  </si>
  <si>
    <t>※平等割額は、主の国保加入の有無及び介護保険分該当・非該当に</t>
    <rPh sb="1" eb="3">
      <t>ビョウドウ</t>
    </rPh>
    <rPh sb="3" eb="4">
      <t>ワ</t>
    </rPh>
    <rPh sb="4" eb="5">
      <t>ガク</t>
    </rPh>
    <rPh sb="7" eb="8">
      <t>ヌシ</t>
    </rPh>
    <rPh sb="9" eb="11">
      <t>コクホ</t>
    </rPh>
    <rPh sb="11" eb="13">
      <t>カニュウ</t>
    </rPh>
    <rPh sb="14" eb="16">
      <t>ウム</t>
    </rPh>
    <rPh sb="16" eb="17">
      <t>オヨ</t>
    </rPh>
    <rPh sb="18" eb="20">
      <t>カイゴ</t>
    </rPh>
    <rPh sb="20" eb="22">
      <t>ホケン</t>
    </rPh>
    <rPh sb="22" eb="23">
      <t>ブン</t>
    </rPh>
    <rPh sb="23" eb="25">
      <t>ガイトウ</t>
    </rPh>
    <rPh sb="26" eb="27">
      <t>ヒ</t>
    </rPh>
    <rPh sb="27" eb="29">
      <t>ガイトウ</t>
    </rPh>
    <phoneticPr fontId="2"/>
  </si>
  <si>
    <t>　関わらず世帯主に計上しています。</t>
    <phoneticPr fontId="2"/>
  </si>
  <si>
    <t>　なお、擬主もしくは主が介護非該当なのに平等割のみかかる場合、</t>
    <rPh sb="4" eb="5">
      <t>ギ</t>
    </rPh>
    <rPh sb="5" eb="6">
      <t>ヌシ</t>
    </rPh>
    <rPh sb="10" eb="11">
      <t>ヌシ</t>
    </rPh>
    <rPh sb="12" eb="14">
      <t>カイゴ</t>
    </rPh>
    <rPh sb="14" eb="17">
      <t>ヒガイトウ</t>
    </rPh>
    <phoneticPr fontId="2"/>
  </si>
  <si>
    <t>　該当部分が網掛けとなります。</t>
    <rPh sb="1" eb="3">
      <t>ガイトウ</t>
    </rPh>
    <rPh sb="3" eb="5">
      <t>ブブン</t>
    </rPh>
    <phoneticPr fontId="2"/>
  </si>
  <si>
    <t>2割軽減</t>
    <rPh sb="1" eb="2">
      <t>ワリ</t>
    </rPh>
    <rPh sb="2" eb="4">
      <t>ケイゲン</t>
    </rPh>
    <phoneticPr fontId="2"/>
  </si>
  <si>
    <t>5割軽減</t>
    <rPh sb="1" eb="2">
      <t>ワリ</t>
    </rPh>
    <rPh sb="2" eb="4">
      <t>ケイゲン</t>
    </rPh>
    <phoneticPr fontId="2"/>
  </si>
  <si>
    <t>7割軽減</t>
    <rPh sb="1" eb="2">
      <t>ワリ</t>
    </rPh>
    <rPh sb="2" eb="4">
      <t>ケイゲン</t>
    </rPh>
    <phoneticPr fontId="2"/>
  </si>
  <si>
    <t>7割5割2割</t>
    <rPh sb="1" eb="2">
      <t>ワリ</t>
    </rPh>
    <rPh sb="3" eb="4">
      <t>ワリ</t>
    </rPh>
    <rPh sb="5" eb="6">
      <t>ワリ</t>
    </rPh>
    <phoneticPr fontId="2"/>
  </si>
  <si>
    <t>強制軽減適用</t>
    <rPh sb="0" eb="2">
      <t>キョウセイ</t>
    </rPh>
    <rPh sb="2" eb="4">
      <t>ケイゲン</t>
    </rPh>
    <rPh sb="4" eb="6">
      <t>テキヨウ</t>
    </rPh>
    <phoneticPr fontId="2"/>
  </si>
  <si>
    <t>適用軽減率</t>
    <rPh sb="0" eb="2">
      <t>テキヨウ</t>
    </rPh>
    <rPh sb="2" eb="4">
      <t>ケイゲン</t>
    </rPh>
    <rPh sb="4" eb="5">
      <t>リツ</t>
    </rPh>
    <phoneticPr fontId="2"/>
  </si>
  <si>
    <t>税額</t>
    <rPh sb="0" eb="2">
      <t>ゼイガク</t>
    </rPh>
    <phoneticPr fontId="2"/>
  </si>
  <si>
    <t>平 等 割</t>
    <rPh sb="0" eb="1">
      <t>タイラ</t>
    </rPh>
    <rPh sb="2" eb="3">
      <t>トウ</t>
    </rPh>
    <rPh sb="4" eb="5">
      <t>ワリ</t>
    </rPh>
    <phoneticPr fontId="2"/>
  </si>
  <si>
    <t>軽減なし</t>
    <rPh sb="0" eb="2">
      <t>ケイゲン</t>
    </rPh>
    <phoneticPr fontId="2"/>
  </si>
  <si>
    <t>支援</t>
    <rPh sb="0" eb="2">
      <t>シエン</t>
    </rPh>
    <phoneticPr fontId="2"/>
  </si>
  <si>
    <t>H24旧高崎</t>
    <rPh sb="3" eb="4">
      <t>キュウ</t>
    </rPh>
    <rPh sb="4" eb="6">
      <t>タカサキ</t>
    </rPh>
    <phoneticPr fontId="2"/>
  </si>
  <si>
    <t>H24吉井</t>
    <rPh sb="3" eb="5">
      <t>ヨシイ</t>
    </rPh>
    <phoneticPr fontId="2"/>
  </si>
  <si>
    <t>H25旧高崎</t>
    <rPh sb="3" eb="4">
      <t>キュウ</t>
    </rPh>
    <rPh sb="4" eb="6">
      <t>タカサキ</t>
    </rPh>
    <phoneticPr fontId="2"/>
  </si>
  <si>
    <t>H25吉井</t>
    <rPh sb="3" eb="5">
      <t>ヨシイ</t>
    </rPh>
    <phoneticPr fontId="2"/>
  </si>
  <si>
    <t>７割</t>
    <rPh sb="1" eb="2">
      <t>ワリ</t>
    </rPh>
    <phoneticPr fontId="2"/>
  </si>
  <si>
    <t>５割</t>
    <rPh sb="1" eb="2">
      <t>ワリ</t>
    </rPh>
    <phoneticPr fontId="2"/>
  </si>
  <si>
    <t>２割</t>
    <rPh sb="1" eb="2">
      <t>ワリ</t>
    </rPh>
    <phoneticPr fontId="2"/>
  </si>
  <si>
    <t>平等割1/2軽減</t>
    <rPh sb="0" eb="2">
      <t>ビョウドウ</t>
    </rPh>
    <rPh sb="2" eb="3">
      <t>ワリ</t>
    </rPh>
    <rPh sb="6" eb="8">
      <t>ケイゲン</t>
    </rPh>
    <phoneticPr fontId="2"/>
  </si>
  <si>
    <t>平等割1/4軽減</t>
    <rPh sb="0" eb="2">
      <t>ビョウドウ</t>
    </rPh>
    <rPh sb="2" eb="3">
      <t>ワリ</t>
    </rPh>
    <rPh sb="6" eb="8">
      <t>ケイゲン</t>
    </rPh>
    <phoneticPr fontId="2"/>
  </si>
  <si>
    <t>特定同一世帯の軽減判定が正しく出ない場合があります。
よく確認をし、必要に応じて強制軽減で対応してください。</t>
    <rPh sb="0" eb="2">
      <t>トクテイ</t>
    </rPh>
    <rPh sb="2" eb="4">
      <t>ドウイツ</t>
    </rPh>
    <rPh sb="4" eb="6">
      <t>セタイ</t>
    </rPh>
    <rPh sb="7" eb="9">
      <t>ケイゲン</t>
    </rPh>
    <rPh sb="9" eb="11">
      <t>ハンテイ</t>
    </rPh>
    <rPh sb="12" eb="13">
      <t>タダ</t>
    </rPh>
    <rPh sb="15" eb="16">
      <t>デ</t>
    </rPh>
    <rPh sb="18" eb="20">
      <t>バアイ</t>
    </rPh>
    <rPh sb="29" eb="31">
      <t>カクニン</t>
    </rPh>
    <rPh sb="34" eb="36">
      <t>ヒツヨウ</t>
    </rPh>
    <rPh sb="37" eb="38">
      <t>オウ</t>
    </rPh>
    <rPh sb="40" eb="42">
      <t>キョウセイ</t>
    </rPh>
    <rPh sb="42" eb="44">
      <t>ケイゲン</t>
    </rPh>
    <rPh sb="45" eb="47">
      <t>タイオウ</t>
    </rPh>
    <phoneticPr fontId="2"/>
  </si>
  <si>
    <t>H26旧高崎</t>
    <rPh sb="3" eb="4">
      <t>キュウ</t>
    </rPh>
    <rPh sb="4" eb="6">
      <t>タカサキ</t>
    </rPh>
    <phoneticPr fontId="2"/>
  </si>
  <si>
    <t>H26吉井</t>
    <rPh sb="3" eb="5">
      <t>ヨシイ</t>
    </rPh>
    <phoneticPr fontId="2"/>
  </si>
  <si>
    <t>H27旧高崎</t>
    <rPh sb="3" eb="4">
      <t>キュウ</t>
    </rPh>
    <rPh sb="4" eb="6">
      <t>タカサキ</t>
    </rPh>
    <phoneticPr fontId="2"/>
  </si>
  <si>
    <t>H27吉井</t>
    <rPh sb="3" eb="5">
      <t>ヨシイ</t>
    </rPh>
    <phoneticPr fontId="2"/>
  </si>
  <si>
    <t>H28旧高崎</t>
    <rPh sb="3" eb="4">
      <t>キュウ</t>
    </rPh>
    <rPh sb="4" eb="6">
      <t>タカサキ</t>
    </rPh>
    <phoneticPr fontId="2"/>
  </si>
  <si>
    <t>H28吉井</t>
    <rPh sb="3" eb="5">
      <t>ヨシイ</t>
    </rPh>
    <phoneticPr fontId="2"/>
  </si>
  <si>
    <t>全地区</t>
    <rPh sb="0" eb="1">
      <t>ゼン</t>
    </rPh>
    <rPh sb="1" eb="3">
      <t>チク</t>
    </rPh>
    <phoneticPr fontId="2"/>
  </si>
  <si>
    <t>H29旧高崎</t>
    <rPh sb="3" eb="4">
      <t>キュウ</t>
    </rPh>
    <rPh sb="4" eb="6">
      <t>タカサキ</t>
    </rPh>
    <phoneticPr fontId="2"/>
  </si>
  <si>
    <t>H30旧高崎</t>
    <rPh sb="3" eb="4">
      <t>キュウ</t>
    </rPh>
    <rPh sb="4" eb="6">
      <t>タカサキ</t>
    </rPh>
    <phoneticPr fontId="2"/>
  </si>
  <si>
    <t>H31旧高崎</t>
    <rPh sb="3" eb="4">
      <t>キュウ</t>
    </rPh>
    <rPh sb="4" eb="6">
      <t>タカサキ</t>
    </rPh>
    <phoneticPr fontId="2"/>
  </si>
  <si>
    <t>R02旧高崎</t>
    <rPh sb="3" eb="4">
      <t>キュウ</t>
    </rPh>
    <rPh sb="4" eb="6">
      <t>タカサキ</t>
    </rPh>
    <phoneticPr fontId="2"/>
  </si>
  <si>
    <t>控除後給与所得</t>
    <rPh sb="0" eb="2">
      <t>コウジョ</t>
    </rPh>
    <rPh sb="2" eb="3">
      <t>ゴ</t>
    </rPh>
    <rPh sb="3" eb="5">
      <t>キュウヨ</t>
    </rPh>
    <rPh sb="5" eb="7">
      <t>ショトク</t>
    </rPh>
    <phoneticPr fontId="2"/>
  </si>
  <si>
    <t>医療・支援
課税標準</t>
    <rPh sb="0" eb="2">
      <t>イリョウ</t>
    </rPh>
    <rPh sb="3" eb="5">
      <t>シエン</t>
    </rPh>
    <rPh sb="6" eb="8">
      <t>カゼイ</t>
    </rPh>
    <rPh sb="8" eb="10">
      <t>ヒョウジュン</t>
    </rPh>
    <phoneticPr fontId="2"/>
  </si>
  <si>
    <t>特例軽減</t>
    <rPh sb="0" eb="2">
      <t>トクレイ</t>
    </rPh>
    <rPh sb="2" eb="4">
      <t>ケイゲン</t>
    </rPh>
    <phoneticPr fontId="2"/>
  </si>
  <si>
    <t>給与＆年金
あり控除</t>
    <rPh sb="0" eb="2">
      <t>キュウヨ</t>
    </rPh>
    <rPh sb="3" eb="5">
      <t>ネンキン</t>
    </rPh>
    <rPh sb="8" eb="10">
      <t>コウジョ</t>
    </rPh>
    <phoneticPr fontId="2"/>
  </si>
  <si>
    <t>給与所得者等該当</t>
    <rPh sb="0" eb="2">
      <t>キュウヨ</t>
    </rPh>
    <rPh sb="2" eb="4">
      <t>ショトク</t>
    </rPh>
    <rPh sb="4" eb="5">
      <t>シャ</t>
    </rPh>
    <rPh sb="5" eb="6">
      <t>トウ</t>
    </rPh>
    <rPh sb="6" eb="8">
      <t>ガイトウ</t>
    </rPh>
    <phoneticPr fontId="2"/>
  </si>
  <si>
    <t>給与所得者等数</t>
    <rPh sb="6" eb="7">
      <t>スウ</t>
    </rPh>
    <phoneticPr fontId="2"/>
  </si>
  <si>
    <t>被保険者数</t>
    <rPh sb="0" eb="4">
      <t>ヒホケンシャ</t>
    </rPh>
    <rPh sb="4" eb="5">
      <t>スウ</t>
    </rPh>
    <phoneticPr fontId="2"/>
  </si>
  <si>
    <t>※公的年金以外の合計所得が1,000万円以下の場合で計算</t>
    <rPh sb="1" eb="3">
      <t>コウテキ</t>
    </rPh>
    <rPh sb="3" eb="5">
      <t>ネンキン</t>
    </rPh>
    <rPh sb="5" eb="7">
      <t>イガイ</t>
    </rPh>
    <rPh sb="8" eb="10">
      <t>ゴウケイ</t>
    </rPh>
    <rPh sb="10" eb="12">
      <t>ショトク</t>
    </rPh>
    <rPh sb="18" eb="19">
      <t>マン</t>
    </rPh>
    <rPh sb="19" eb="20">
      <t>エン</t>
    </rPh>
    <rPh sb="20" eb="22">
      <t>イカ</t>
    </rPh>
    <rPh sb="23" eb="25">
      <t>バアイ</t>
    </rPh>
    <rPh sb="26" eb="28">
      <t>ケイサン</t>
    </rPh>
    <phoneticPr fontId="2"/>
  </si>
  <si>
    <r>
      <t xml:space="preserve">軽判所得
</t>
    </r>
    <r>
      <rPr>
        <sz val="8"/>
        <rFont val="ＭＳ ゴシック"/>
        <family val="3"/>
        <charset val="128"/>
      </rPr>
      <t>(年金加算含む)</t>
    </r>
    <rPh sb="0" eb="1">
      <t>ケイ</t>
    </rPh>
    <rPh sb="1" eb="2">
      <t>ハン</t>
    </rPh>
    <rPh sb="2" eb="4">
      <t>ショトク</t>
    </rPh>
    <rPh sb="6" eb="8">
      <t>ネンキン</t>
    </rPh>
    <rPh sb="8" eb="10">
      <t>カサン</t>
    </rPh>
    <rPh sb="10" eb="11">
      <t>フク</t>
    </rPh>
    <phoneticPr fontId="2"/>
  </si>
  <si>
    <t>軽減判定人数</t>
    <rPh sb="0" eb="2">
      <t>ケイゲン</t>
    </rPh>
    <rPh sb="2" eb="4">
      <t>ハンテイ</t>
    </rPh>
    <rPh sb="4" eb="6">
      <t>ニンズウ</t>
    </rPh>
    <phoneticPr fontId="2"/>
  </si>
  <si>
    <t>介　護</t>
    <rPh sb="0" eb="1">
      <t>スケ</t>
    </rPh>
    <rPh sb="2" eb="3">
      <t>マモル</t>
    </rPh>
    <phoneticPr fontId="2"/>
  </si>
  <si>
    <t>①生年月日</t>
    <rPh sb="1" eb="3">
      <t>セイネン</t>
    </rPh>
    <rPh sb="3" eb="5">
      <t>ガッピ</t>
    </rPh>
    <phoneticPr fontId="2"/>
  </si>
  <si>
    <t>加入月（上段：医療・後期、下段：介護）</t>
    <rPh sb="0" eb="2">
      <t>カニュウ</t>
    </rPh>
    <rPh sb="2" eb="3">
      <t>ヅキ</t>
    </rPh>
    <rPh sb="4" eb="6">
      <t>ジョウダン</t>
    </rPh>
    <rPh sb="7" eb="9">
      <t>イリョウ</t>
    </rPh>
    <rPh sb="10" eb="12">
      <t>コウキ</t>
    </rPh>
    <rPh sb="13" eb="15">
      <t>ゲダン</t>
    </rPh>
    <rPh sb="16" eb="18">
      <t>カイゴ</t>
    </rPh>
    <phoneticPr fontId="2"/>
  </si>
  <si>
    <t>計</t>
    <rPh sb="0" eb="1">
      <t>ケイ</t>
    </rPh>
    <phoneticPr fontId="2"/>
  </si>
  <si>
    <r>
      <t>未就学児均等割　</t>
    </r>
    <r>
      <rPr>
        <b/>
        <u/>
        <sz val="11"/>
        <rFont val="ＭＳ ゴシック"/>
        <family val="3"/>
        <charset val="128"/>
      </rPr>
      <t>減額率</t>
    </r>
    <rPh sb="0" eb="4">
      <t>ミシュウガクジ</t>
    </rPh>
    <rPh sb="4" eb="7">
      <t>キントウワ</t>
    </rPh>
    <rPh sb="8" eb="10">
      <t>ゲンガク</t>
    </rPh>
    <rPh sb="10" eb="11">
      <t>リツ</t>
    </rPh>
    <phoneticPr fontId="2"/>
  </si>
  <si>
    <t xml:space="preserve"> </t>
    <phoneticPr fontId="2"/>
  </si>
  <si>
    <t>軽判所得</t>
    <rPh sb="0" eb="1">
      <t>ケイ</t>
    </rPh>
    <rPh sb="1" eb="2">
      <t>ハン</t>
    </rPh>
    <rPh sb="2" eb="4">
      <t>ショトク</t>
    </rPh>
    <phoneticPr fontId="2"/>
  </si>
  <si>
    <t>軽判所得</t>
    <phoneticPr fontId="2"/>
  </si>
  <si>
    <r>
      <rPr>
        <sz val="10"/>
        <rFont val="ＭＳ ゴシック"/>
        <family val="3"/>
        <charset val="128"/>
      </rPr>
      <t>給与＆年金
あり控除</t>
    </r>
    <r>
      <rPr>
        <sz val="9"/>
        <rFont val="ＭＳ ゴシック"/>
        <family val="3"/>
        <charset val="128"/>
      </rPr>
      <t xml:space="preserve">
(軽判所得)</t>
    </r>
    <rPh sb="0" eb="2">
      <t>キュウヨ</t>
    </rPh>
    <rPh sb="3" eb="5">
      <t>ネンキン</t>
    </rPh>
    <rPh sb="8" eb="10">
      <t>コウジョ</t>
    </rPh>
    <rPh sb="12" eb="13">
      <t>ケイ</t>
    </rPh>
    <rPh sb="13" eb="14">
      <t>ハン</t>
    </rPh>
    <rPh sb="14" eb="16">
      <t>ショトク</t>
    </rPh>
    <phoneticPr fontId="2"/>
  </si>
  <si>
    <t>4
月</t>
    <rPh sb="2" eb="3">
      <t>ガツ</t>
    </rPh>
    <phoneticPr fontId="2"/>
  </si>
  <si>
    <t>5
月</t>
    <rPh sb="2" eb="3">
      <t>ツキ</t>
    </rPh>
    <phoneticPr fontId="2"/>
  </si>
  <si>
    <t>6
月</t>
    <rPh sb="2" eb="3">
      <t>ガツ</t>
    </rPh>
    <phoneticPr fontId="2"/>
  </si>
  <si>
    <t>7
月</t>
    <rPh sb="2" eb="3">
      <t>ガツ</t>
    </rPh>
    <phoneticPr fontId="2"/>
  </si>
  <si>
    <t>8
月</t>
    <rPh sb="2" eb="3">
      <t>ガツ</t>
    </rPh>
    <phoneticPr fontId="2"/>
  </si>
  <si>
    <t>9
月</t>
    <rPh sb="2" eb="3">
      <t>ガツ</t>
    </rPh>
    <phoneticPr fontId="2"/>
  </si>
  <si>
    <t>10
月</t>
    <rPh sb="3" eb="4">
      <t>ガツ</t>
    </rPh>
    <phoneticPr fontId="2"/>
  </si>
  <si>
    <t>11
月</t>
    <rPh sb="3" eb="4">
      <t>ガツ</t>
    </rPh>
    <phoneticPr fontId="2"/>
  </si>
  <si>
    <t>12
月</t>
    <rPh sb="3" eb="4">
      <t>ガツ</t>
    </rPh>
    <phoneticPr fontId="2"/>
  </si>
  <si>
    <t>1
月</t>
    <rPh sb="2" eb="3">
      <t>ガツ</t>
    </rPh>
    <phoneticPr fontId="2"/>
  </si>
  <si>
    <t>2
月</t>
    <rPh sb="2" eb="3">
      <t>ガツ</t>
    </rPh>
    <phoneticPr fontId="2"/>
  </si>
  <si>
    <t>3
月</t>
    <rPh sb="2" eb="3">
      <t>ガツ</t>
    </rPh>
    <phoneticPr fontId="2"/>
  </si>
  <si>
    <t>４月</t>
    <rPh sb="1" eb="2">
      <t>ガツ</t>
    </rPh>
    <phoneticPr fontId="2"/>
  </si>
  <si>
    <t>５月</t>
    <rPh sb="1" eb="2">
      <t>ガツ</t>
    </rPh>
    <phoneticPr fontId="2"/>
  </si>
  <si>
    <t>６月</t>
  </si>
  <si>
    <t>７月</t>
  </si>
  <si>
    <t>８月</t>
  </si>
  <si>
    <t>９月</t>
  </si>
  <si>
    <t>１０月</t>
  </si>
  <si>
    <t>１１月</t>
  </si>
  <si>
    <t>１２月</t>
  </si>
  <si>
    <t>１月</t>
    <rPh sb="1" eb="2">
      <t>ガツ</t>
    </rPh>
    <phoneticPr fontId="2"/>
  </si>
  <si>
    <t>計</t>
    <rPh sb="0" eb="1">
      <t>ケイ</t>
    </rPh>
    <phoneticPr fontId="2"/>
  </si>
  <si>
    <t>２月</t>
    <rPh sb="1" eb="2">
      <t>ガツ</t>
    </rPh>
    <phoneticPr fontId="2"/>
  </si>
  <si>
    <t>３月</t>
    <rPh sb="1" eb="2">
      <t>ガツ</t>
    </rPh>
    <phoneticPr fontId="2"/>
  </si>
  <si>
    <t>小　計</t>
    <rPh sb="0" eb="1">
      <t>ショウ</t>
    </rPh>
    <rPh sb="2" eb="3">
      <t>ケイ</t>
    </rPh>
    <phoneticPr fontId="2"/>
  </si>
  <si>
    <t>賦課
期日
判定
欄</t>
    <rPh sb="0" eb="2">
      <t>フカ</t>
    </rPh>
    <rPh sb="3" eb="5">
      <t>キジツ</t>
    </rPh>
    <rPh sb="6" eb="8">
      <t>ハンテイ</t>
    </rPh>
    <rPh sb="9" eb="10">
      <t>ラン</t>
    </rPh>
    <phoneticPr fontId="2"/>
  </si>
  <si>
    <t>支援金分 税額</t>
    <rPh sb="0" eb="2">
      <t>シエン</t>
    </rPh>
    <rPh sb="2" eb="3">
      <t>キン</t>
    </rPh>
    <rPh sb="3" eb="4">
      <t>ブン</t>
    </rPh>
    <rPh sb="5" eb="7">
      <t>ゼイガク</t>
    </rPh>
    <phoneticPr fontId="2"/>
  </si>
  <si>
    <t>介 護 分 税額</t>
    <rPh sb="0" eb="1">
      <t>スケ</t>
    </rPh>
    <rPh sb="2" eb="3">
      <t>マモル</t>
    </rPh>
    <rPh sb="4" eb="5">
      <t>ブン</t>
    </rPh>
    <rPh sb="6" eb="8">
      <t>ゼイガク</t>
    </rPh>
    <phoneticPr fontId="2"/>
  </si>
  <si>
    <t>医 療 分 税額</t>
    <rPh sb="0" eb="1">
      <t>イ</t>
    </rPh>
    <rPh sb="2" eb="3">
      <t>リョウ</t>
    </rPh>
    <rPh sb="4" eb="5">
      <t>ブン</t>
    </rPh>
    <rPh sb="6" eb="7">
      <t>ゼイ</t>
    </rPh>
    <rPh sb="7" eb="8">
      <t>ガク</t>
    </rPh>
    <phoneticPr fontId="2"/>
  </si>
  <si>
    <t>医療･支援・介護 計</t>
    <rPh sb="0" eb="2">
      <t>イリョウ</t>
    </rPh>
    <rPh sb="3" eb="5">
      <t>シエン</t>
    </rPh>
    <rPh sb="6" eb="8">
      <t>カイゴ</t>
    </rPh>
    <rPh sb="9" eb="10">
      <t>ケイ</t>
    </rPh>
    <phoneticPr fontId="2"/>
  </si>
  <si>
    <r>
      <t>①　</t>
    </r>
    <r>
      <rPr>
        <b/>
        <sz val="11"/>
        <color indexed="12"/>
        <rFont val="ＭＳ Ｐゴシック"/>
        <family val="3"/>
        <charset val="128"/>
      </rPr>
      <t>生年月日</t>
    </r>
    <r>
      <rPr>
        <sz val="11"/>
        <color indexed="12"/>
        <rFont val="ＭＳ Ｐゴシック"/>
        <family val="3"/>
        <charset val="128"/>
      </rPr>
      <t>は必ず入力してください。（</t>
    </r>
    <r>
      <rPr>
        <sz val="11"/>
        <color indexed="10"/>
        <rFont val="ＭＳ Ｐゴシック"/>
        <family val="3"/>
        <charset val="128"/>
      </rPr>
      <t>和暦、もしくは西暦</t>
    </r>
    <r>
      <rPr>
        <sz val="11"/>
        <color indexed="12"/>
        <rFont val="ＭＳ Ｐゴシック"/>
        <family val="3"/>
        <charset val="128"/>
      </rPr>
      <t>で入力。）</t>
    </r>
    <rPh sb="2" eb="4">
      <t>セイネン</t>
    </rPh>
    <rPh sb="4" eb="6">
      <t>ガッピ</t>
    </rPh>
    <rPh sb="7" eb="8">
      <t>カナラ</t>
    </rPh>
    <rPh sb="9" eb="11">
      <t>ニュウリョク</t>
    </rPh>
    <rPh sb="19" eb="21">
      <t>ワレキ</t>
    </rPh>
    <rPh sb="26" eb="28">
      <t>セイレキ</t>
    </rPh>
    <rPh sb="29" eb="31">
      <t>ニュウリョク</t>
    </rPh>
    <phoneticPr fontId="2"/>
  </si>
  <si>
    <r>
      <t>②　</t>
    </r>
    <r>
      <rPr>
        <b/>
        <sz val="11"/>
        <color indexed="12"/>
        <rFont val="ＭＳ Ｐゴシック"/>
        <family val="3"/>
        <charset val="128"/>
      </rPr>
      <t>給与収入</t>
    </r>
    <r>
      <rPr>
        <sz val="11"/>
        <color indexed="12"/>
        <rFont val="ＭＳ Ｐゴシック"/>
        <family val="3"/>
        <charset val="128"/>
      </rPr>
      <t>は、源泉徴収票の</t>
    </r>
    <r>
      <rPr>
        <sz val="11"/>
        <color indexed="10"/>
        <rFont val="ＭＳ Ｐゴシック"/>
        <family val="3"/>
        <charset val="128"/>
      </rPr>
      <t>支払金額</t>
    </r>
    <r>
      <rPr>
        <sz val="11"/>
        <color indexed="12"/>
        <rFont val="ＭＳ Ｐゴシック"/>
        <family val="3"/>
        <charset val="128"/>
      </rPr>
      <t>を入力してください。　　※</t>
    </r>
    <r>
      <rPr>
        <sz val="11"/>
        <color rgb="FFFF0000"/>
        <rFont val="ＭＳ Ｐゴシック"/>
        <family val="3"/>
        <charset val="128"/>
      </rPr>
      <t>給与収入850万円超え</t>
    </r>
    <r>
      <rPr>
        <sz val="11"/>
        <color indexed="12"/>
        <rFont val="ＭＳ Ｐゴシック"/>
        <family val="3"/>
        <charset val="128"/>
      </rPr>
      <t>の所得金額調整控除は対応していません。</t>
    </r>
    <rPh sb="4" eb="6">
      <t>シュウニュウ</t>
    </rPh>
    <rPh sb="14" eb="16">
      <t>シハライ</t>
    </rPh>
    <rPh sb="16" eb="18">
      <t>キンガク</t>
    </rPh>
    <rPh sb="31" eb="33">
      <t>キュウヨ</t>
    </rPh>
    <rPh sb="33" eb="35">
      <t>シュウニュウ</t>
    </rPh>
    <rPh sb="38" eb="39">
      <t>マン</t>
    </rPh>
    <rPh sb="39" eb="40">
      <t>エン</t>
    </rPh>
    <rPh sb="40" eb="41">
      <t>コ</t>
    </rPh>
    <rPh sb="43" eb="45">
      <t>ショトク</t>
    </rPh>
    <rPh sb="45" eb="47">
      <t>キンガク</t>
    </rPh>
    <rPh sb="47" eb="49">
      <t>チョウセイ</t>
    </rPh>
    <rPh sb="49" eb="51">
      <t>コウジョ</t>
    </rPh>
    <rPh sb="52" eb="54">
      <t>タイオウ</t>
    </rPh>
    <phoneticPr fontId="2"/>
  </si>
  <si>
    <t>軽減判定計算該当</t>
    <rPh sb="0" eb="2">
      <t>ケイゲン</t>
    </rPh>
    <rPh sb="2" eb="4">
      <t>ハンテイ</t>
    </rPh>
    <rPh sb="4" eb="6">
      <t>ケイサン</t>
    </rPh>
    <rPh sb="6" eb="8">
      <t>ガイトウ</t>
    </rPh>
    <phoneticPr fontId="2"/>
  </si>
  <si>
    <t>軽減
判定</t>
    <rPh sb="0" eb="2">
      <t>ケイゲン</t>
    </rPh>
    <rPh sb="3" eb="5">
      <t>ハンテイ</t>
    </rPh>
    <phoneticPr fontId="2"/>
  </si>
  <si>
    <t>月別加入被保険者数</t>
    <rPh sb="0" eb="2">
      <t>ツキベツ</t>
    </rPh>
    <rPh sb="2" eb="4">
      <t>カニュウ</t>
    </rPh>
    <rPh sb="4" eb="8">
      <t>ヒホケンシャ</t>
    </rPh>
    <rPh sb="8" eb="9">
      <t>スウ</t>
    </rPh>
    <phoneticPr fontId="2"/>
  </si>
  <si>
    <t>医療税額（月割分で計算。端数処理前）</t>
    <rPh sb="0" eb="2">
      <t>イリョウ</t>
    </rPh>
    <rPh sb="2" eb="4">
      <t>ゼイガク</t>
    </rPh>
    <rPh sb="5" eb="7">
      <t>ツキワ</t>
    </rPh>
    <rPh sb="7" eb="8">
      <t>ブン</t>
    </rPh>
    <rPh sb="9" eb="11">
      <t>ケイサン</t>
    </rPh>
    <rPh sb="12" eb="14">
      <t>ハスウ</t>
    </rPh>
    <rPh sb="14" eb="16">
      <t>ショリ</t>
    </rPh>
    <rPh sb="16" eb="17">
      <t>マエ</t>
    </rPh>
    <phoneticPr fontId="2"/>
  </si>
  <si>
    <t>支援税額（月割分で計算。端数処理前）</t>
    <rPh sb="0" eb="2">
      <t>シエン</t>
    </rPh>
    <rPh sb="2" eb="4">
      <t>ゼイガク</t>
    </rPh>
    <rPh sb="5" eb="7">
      <t>ツキワ</t>
    </rPh>
    <rPh sb="7" eb="8">
      <t>ブン</t>
    </rPh>
    <rPh sb="9" eb="11">
      <t>ケイサン</t>
    </rPh>
    <rPh sb="12" eb="14">
      <t>ハスウ</t>
    </rPh>
    <rPh sb="14" eb="16">
      <t>ショリ</t>
    </rPh>
    <rPh sb="16" eb="17">
      <t>マエ</t>
    </rPh>
    <phoneticPr fontId="2"/>
  </si>
  <si>
    <t>介護税額（月割分で計算。端数処理前）</t>
    <rPh sb="0" eb="2">
      <t>カイゴ</t>
    </rPh>
    <rPh sb="2" eb="4">
      <t>ゼイガク</t>
    </rPh>
    <rPh sb="5" eb="7">
      <t>ツキワ</t>
    </rPh>
    <rPh sb="7" eb="8">
      <t>ブン</t>
    </rPh>
    <rPh sb="9" eb="11">
      <t>ケイサン</t>
    </rPh>
    <rPh sb="12" eb="14">
      <t>ハスウ</t>
    </rPh>
    <rPh sb="14" eb="16">
      <t>ショリ</t>
    </rPh>
    <rPh sb="16" eb="17">
      <t>マエ</t>
    </rPh>
    <phoneticPr fontId="2"/>
  </si>
  <si>
    <t>計</t>
    <rPh sb="0" eb="1">
      <t>ケイ</t>
    </rPh>
    <phoneticPr fontId="2"/>
  </si>
  <si>
    <t>１応能</t>
    <rPh sb="1" eb="3">
      <t>オウノウ</t>
    </rPh>
    <phoneticPr fontId="2"/>
  </si>
  <si>
    <t>１応益</t>
    <rPh sb="1" eb="2">
      <t>オウ</t>
    </rPh>
    <rPh sb="2" eb="3">
      <t>エキ</t>
    </rPh>
    <phoneticPr fontId="2"/>
  </si>
  <si>
    <t>２応能</t>
    <rPh sb="1" eb="3">
      <t>オウノウ</t>
    </rPh>
    <phoneticPr fontId="2"/>
  </si>
  <si>
    <t>２応益</t>
    <rPh sb="1" eb="2">
      <t>オウ</t>
    </rPh>
    <rPh sb="2" eb="3">
      <t>エキ</t>
    </rPh>
    <phoneticPr fontId="2"/>
  </si>
  <si>
    <t>３応能</t>
    <rPh sb="1" eb="3">
      <t>オウノウ</t>
    </rPh>
    <phoneticPr fontId="2"/>
  </si>
  <si>
    <t>３応益</t>
    <rPh sb="1" eb="2">
      <t>オウ</t>
    </rPh>
    <rPh sb="2" eb="3">
      <t>エキ</t>
    </rPh>
    <phoneticPr fontId="2"/>
  </si>
  <si>
    <t>４応能</t>
    <rPh sb="1" eb="3">
      <t>オウノウ</t>
    </rPh>
    <phoneticPr fontId="2"/>
  </si>
  <si>
    <t>４応益</t>
    <rPh sb="1" eb="2">
      <t>オウ</t>
    </rPh>
    <rPh sb="2" eb="3">
      <t>エキ</t>
    </rPh>
    <phoneticPr fontId="2"/>
  </si>
  <si>
    <t>５応能</t>
    <rPh sb="1" eb="3">
      <t>オウノウ</t>
    </rPh>
    <phoneticPr fontId="2"/>
  </si>
  <si>
    <t>５応益</t>
    <rPh sb="1" eb="2">
      <t>オウ</t>
    </rPh>
    <rPh sb="2" eb="3">
      <t>エキ</t>
    </rPh>
    <phoneticPr fontId="2"/>
  </si>
  <si>
    <t>６応能</t>
    <rPh sb="1" eb="3">
      <t>オウノウ</t>
    </rPh>
    <phoneticPr fontId="2"/>
  </si>
  <si>
    <t>６応益</t>
    <rPh sb="1" eb="2">
      <t>オウ</t>
    </rPh>
    <rPh sb="2" eb="3">
      <t>エキ</t>
    </rPh>
    <phoneticPr fontId="2"/>
  </si>
  <si>
    <t>７応能</t>
    <rPh sb="1" eb="3">
      <t>オウノウ</t>
    </rPh>
    <phoneticPr fontId="2"/>
  </si>
  <si>
    <t>７応益</t>
    <rPh sb="1" eb="2">
      <t>オウ</t>
    </rPh>
    <rPh sb="2" eb="3">
      <t>エキ</t>
    </rPh>
    <phoneticPr fontId="2"/>
  </si>
  <si>
    <t>８応能</t>
    <rPh sb="1" eb="3">
      <t>オウノウ</t>
    </rPh>
    <phoneticPr fontId="2"/>
  </si>
  <si>
    <t>８応益</t>
    <rPh sb="1" eb="2">
      <t>オウ</t>
    </rPh>
    <rPh sb="2" eb="3">
      <t>エキ</t>
    </rPh>
    <phoneticPr fontId="2"/>
  </si>
  <si>
    <t>計応能</t>
    <rPh sb="0" eb="1">
      <t>ケイ</t>
    </rPh>
    <rPh sb="1" eb="3">
      <t>オウノウ</t>
    </rPh>
    <phoneticPr fontId="2"/>
  </si>
  <si>
    <t>計応益</t>
    <rPh sb="0" eb="1">
      <t>ケイ</t>
    </rPh>
    <rPh sb="1" eb="2">
      <t>オウ</t>
    </rPh>
    <rPh sb="2" eb="3">
      <t>エキ</t>
    </rPh>
    <phoneticPr fontId="2"/>
  </si>
  <si>
    <t>月割り限度額適用</t>
    <rPh sb="0" eb="2">
      <t>ツキワ</t>
    </rPh>
    <rPh sb="3" eb="8">
      <t>ゲンドガクテキヨウ</t>
    </rPh>
    <phoneticPr fontId="2"/>
  </si>
  <si>
    <t>年　税　額</t>
    <rPh sb="0" eb="1">
      <t>ネン</t>
    </rPh>
    <rPh sb="2" eb="3">
      <t>ゼイ</t>
    </rPh>
    <rPh sb="4" eb="5">
      <t>ガク</t>
    </rPh>
    <phoneticPr fontId="2"/>
  </si>
  <si>
    <t>国　保</t>
  </si>
  <si>
    <t>医療分(所)</t>
    <rPh sb="0" eb="2">
      <t>イリョウ</t>
    </rPh>
    <rPh sb="2" eb="3">
      <t>ブン</t>
    </rPh>
    <rPh sb="4" eb="5">
      <t>トコロ</t>
    </rPh>
    <phoneticPr fontId="2"/>
  </si>
  <si>
    <t>医療分(資)</t>
    <rPh sb="0" eb="2">
      <t>イリョウ</t>
    </rPh>
    <rPh sb="2" eb="3">
      <t>ブン</t>
    </rPh>
    <rPh sb="4" eb="5">
      <t>シ</t>
    </rPh>
    <phoneticPr fontId="2"/>
  </si>
  <si>
    <t>医療分(均)</t>
    <rPh sb="0" eb="2">
      <t>イリョウ</t>
    </rPh>
    <rPh sb="2" eb="3">
      <t>ブン</t>
    </rPh>
    <rPh sb="4" eb="5">
      <t>キン</t>
    </rPh>
    <phoneticPr fontId="2"/>
  </si>
  <si>
    <t>医療分(平)</t>
    <rPh sb="0" eb="2">
      <t>イリョウ</t>
    </rPh>
    <rPh sb="2" eb="3">
      <t>ブン</t>
    </rPh>
    <rPh sb="4" eb="5">
      <t>タイラ</t>
    </rPh>
    <phoneticPr fontId="2"/>
  </si>
  <si>
    <t>後期分(所)</t>
    <rPh sb="0" eb="2">
      <t>コウキ</t>
    </rPh>
    <rPh sb="2" eb="3">
      <t>ブン</t>
    </rPh>
    <rPh sb="4" eb="5">
      <t>トコロ</t>
    </rPh>
    <phoneticPr fontId="2"/>
  </si>
  <si>
    <t>後期分(資)</t>
    <rPh sb="0" eb="2">
      <t>コウキ</t>
    </rPh>
    <rPh sb="2" eb="3">
      <t>ブン</t>
    </rPh>
    <rPh sb="4" eb="5">
      <t>シ</t>
    </rPh>
    <phoneticPr fontId="2"/>
  </si>
  <si>
    <t>後期分(均)</t>
    <rPh sb="0" eb="2">
      <t>コウキ</t>
    </rPh>
    <rPh sb="2" eb="3">
      <t>ブン</t>
    </rPh>
    <rPh sb="4" eb="5">
      <t>キン</t>
    </rPh>
    <phoneticPr fontId="2"/>
  </si>
  <si>
    <t>後期分(平)</t>
    <rPh sb="0" eb="2">
      <t>コウキ</t>
    </rPh>
    <rPh sb="2" eb="3">
      <t>ブン</t>
    </rPh>
    <rPh sb="4" eb="5">
      <t>タイラ</t>
    </rPh>
    <phoneticPr fontId="2"/>
  </si>
  <si>
    <t>介護分(所)</t>
    <rPh sb="0" eb="2">
      <t>カイゴ</t>
    </rPh>
    <rPh sb="2" eb="3">
      <t>ブン</t>
    </rPh>
    <rPh sb="4" eb="5">
      <t>トコロ</t>
    </rPh>
    <phoneticPr fontId="2"/>
  </si>
  <si>
    <t>介護分(資)</t>
    <rPh sb="0" eb="2">
      <t>カイゴ</t>
    </rPh>
    <rPh sb="2" eb="3">
      <t>ブン</t>
    </rPh>
    <rPh sb="4" eb="5">
      <t>シ</t>
    </rPh>
    <phoneticPr fontId="2"/>
  </si>
  <si>
    <t>介護分(均)</t>
    <rPh sb="0" eb="2">
      <t>カイゴ</t>
    </rPh>
    <rPh sb="2" eb="3">
      <t>ブン</t>
    </rPh>
    <rPh sb="4" eb="5">
      <t>キン</t>
    </rPh>
    <phoneticPr fontId="2"/>
  </si>
  <si>
    <t>介護分(平)</t>
    <rPh sb="0" eb="2">
      <t>カイゴ</t>
    </rPh>
    <rPh sb="2" eb="3">
      <t>ブン</t>
    </rPh>
    <rPh sb="4" eb="5">
      <t>タイラ</t>
    </rPh>
    <phoneticPr fontId="2"/>
  </si>
  <si>
    <t>計
（小数2位）</t>
    <rPh sb="0" eb="1">
      <t>ケイ</t>
    </rPh>
    <rPh sb="3" eb="5">
      <t>ショウスウ</t>
    </rPh>
    <rPh sb="6" eb="7">
      <t>イ</t>
    </rPh>
    <phoneticPr fontId="2"/>
  </si>
  <si>
    <t>計
（調整後）</t>
    <rPh sb="0" eb="1">
      <t>ケイ</t>
    </rPh>
    <rPh sb="3" eb="6">
      <t>チョウセイゴ</t>
    </rPh>
    <phoneticPr fontId="2"/>
  </si>
  <si>
    <t>計(小数2位)</t>
    <rPh sb="0" eb="1">
      <t>ケイ</t>
    </rPh>
    <rPh sb="2" eb="4">
      <t>ショウスウ</t>
    </rPh>
    <rPh sb="5" eb="6">
      <t>イ</t>
    </rPh>
    <phoneticPr fontId="2"/>
  </si>
  <si>
    <t>月割分で計算。端数処理前</t>
    <rPh sb="0" eb="2">
      <t>ツキワ</t>
    </rPh>
    <rPh sb="2" eb="3">
      <t>ブン</t>
    </rPh>
    <rPh sb="4" eb="6">
      <t>ケイサン</t>
    </rPh>
    <rPh sb="7" eb="9">
      <t>ハスウ</t>
    </rPh>
    <rPh sb="9" eb="11">
      <t>ショリ</t>
    </rPh>
    <rPh sb="11" eb="12">
      <t>マエ</t>
    </rPh>
    <phoneticPr fontId="2"/>
  </si>
  <si>
    <t>月割限度等考調整後</t>
    <rPh sb="0" eb="2">
      <t>ツキワ</t>
    </rPh>
    <rPh sb="2" eb="4">
      <t>ゲンド</t>
    </rPh>
    <rPh sb="4" eb="5">
      <t>トウ</t>
    </rPh>
    <rPh sb="5" eb="6">
      <t>コウ</t>
    </rPh>
    <rPh sb="6" eb="9">
      <t>チョウセイゴ</t>
    </rPh>
    <phoneticPr fontId="2"/>
  </si>
  <si>
    <t>※個人単位：月割り限度額等計算</t>
    <rPh sb="1" eb="3">
      <t>コジン</t>
    </rPh>
    <rPh sb="3" eb="5">
      <t>タンイ</t>
    </rPh>
    <rPh sb="6" eb="8">
      <t>ツキワ</t>
    </rPh>
    <rPh sb="9" eb="11">
      <t>ゲンド</t>
    </rPh>
    <rPh sb="11" eb="12">
      <t>ガク</t>
    </rPh>
    <rPh sb="12" eb="13">
      <t>トウ</t>
    </rPh>
    <rPh sb="13" eb="15">
      <t>ケイサン</t>
    </rPh>
    <phoneticPr fontId="2"/>
  </si>
  <si>
    <t>※全員：加入期間税額計算</t>
    <rPh sb="1" eb="3">
      <t>ゼンイン</t>
    </rPh>
    <rPh sb="4" eb="6">
      <t>カニュウ</t>
    </rPh>
    <rPh sb="6" eb="8">
      <t>キカン</t>
    </rPh>
    <rPh sb="8" eb="10">
      <t>ゼイガク</t>
    </rPh>
    <rPh sb="10" eb="12">
      <t>ケイサン</t>
    </rPh>
    <phoneticPr fontId="2"/>
  </si>
  <si>
    <t>↑年税額の数字</t>
    <rPh sb="1" eb="4">
      <t>ネンゼイガク</t>
    </rPh>
    <rPh sb="5" eb="7">
      <t>スウジ</t>
    </rPh>
    <phoneticPr fontId="2"/>
  </si>
  <si>
    <t>※加入期間に合わせ計算しています。</t>
    <rPh sb="1" eb="3">
      <t>カニュウ</t>
    </rPh>
    <rPh sb="3" eb="5">
      <t>キカン</t>
    </rPh>
    <rPh sb="6" eb="7">
      <t>ア</t>
    </rPh>
    <rPh sb="9" eb="11">
      <t>ケイサン</t>
    </rPh>
    <phoneticPr fontId="2"/>
  </si>
  <si>
    <r>
      <rPr>
        <sz val="12"/>
        <rFont val="ＭＳ ゴシック"/>
        <family val="3"/>
        <charset val="128"/>
      </rPr>
      <t>月別税額</t>
    </r>
    <r>
      <rPr>
        <sz val="10"/>
        <rFont val="ＭＳ ゴシック"/>
        <family val="3"/>
        <charset val="128"/>
      </rPr>
      <t xml:space="preserve">（医療+後期+介護） </t>
    </r>
    <r>
      <rPr>
        <sz val="9"/>
        <color rgb="FFFF0000"/>
        <rFont val="ＭＳ ゴシック"/>
        <family val="3"/>
        <charset val="128"/>
      </rPr>
      <t>※端数調整は行っていません</t>
    </r>
    <rPh sb="0" eb="1">
      <t>ツキ</t>
    </rPh>
    <rPh sb="1" eb="2">
      <t>ベツ</t>
    </rPh>
    <rPh sb="2" eb="3">
      <t>ゼイ</t>
    </rPh>
    <rPh sb="3" eb="4">
      <t>ガク</t>
    </rPh>
    <rPh sb="5" eb="7">
      <t>イリョウ</t>
    </rPh>
    <rPh sb="8" eb="10">
      <t>コウキ</t>
    </rPh>
    <rPh sb="11" eb="13">
      <t>カイゴ</t>
    </rPh>
    <rPh sb="16" eb="18">
      <t>ハスウ</t>
    </rPh>
    <rPh sb="18" eb="20">
      <t>チョウセイ</t>
    </rPh>
    <rPh sb="21" eb="22">
      <t>オコナ</t>
    </rPh>
    <phoneticPr fontId="2"/>
  </si>
  <si>
    <t>※月割りしたものを基準に保険税額（加入月分）の計算を行っているため、計算結果が若干ずれる場合があります。</t>
    <rPh sb="1" eb="3">
      <t>ツキワ</t>
    </rPh>
    <rPh sb="9" eb="11">
      <t>キジュン</t>
    </rPh>
    <rPh sb="12" eb="14">
      <t>ホケン</t>
    </rPh>
    <rPh sb="14" eb="15">
      <t>ゼイ</t>
    </rPh>
    <rPh sb="15" eb="16">
      <t>ガク</t>
    </rPh>
    <rPh sb="17" eb="19">
      <t>カニュウ</t>
    </rPh>
    <rPh sb="19" eb="20">
      <t>ヅキ</t>
    </rPh>
    <rPh sb="20" eb="21">
      <t>ブン</t>
    </rPh>
    <rPh sb="23" eb="25">
      <t>ケイサン</t>
    </rPh>
    <rPh sb="34" eb="36">
      <t>ケイサン</t>
    </rPh>
    <rPh sb="36" eb="38">
      <t>ケッカ</t>
    </rPh>
    <phoneticPr fontId="2"/>
  </si>
  <si>
    <r>
      <t>保険税額</t>
    </r>
    <r>
      <rPr>
        <b/>
        <sz val="9"/>
        <color indexed="10"/>
        <rFont val="ＭＳ ゴシック"/>
        <family val="3"/>
        <charset val="128"/>
      </rPr>
      <t>（加入月分）</t>
    </r>
    <rPh sb="0" eb="1">
      <t>ホ</t>
    </rPh>
    <rPh sb="1" eb="2">
      <t>ケン</t>
    </rPh>
    <rPh sb="2" eb="3">
      <t>ゼイ</t>
    </rPh>
    <rPh sb="3" eb="4">
      <t>ガク</t>
    </rPh>
    <rPh sb="5" eb="7">
      <t>カニュウ</t>
    </rPh>
    <rPh sb="7" eb="8">
      <t>ツキ</t>
    </rPh>
    <rPh sb="8" eb="9">
      <t>ブン</t>
    </rPh>
    <phoneticPr fontId="2"/>
  </si>
  <si>
    <t>※主は未加入だが、平等割のみ計上している場合、網掛けとなります。</t>
    <rPh sb="1" eb="2">
      <t>ヌシ</t>
    </rPh>
    <rPh sb="3" eb="6">
      <t>ミカニュウ</t>
    </rPh>
    <rPh sb="9" eb="11">
      <t>ビョウドウ</t>
    </rPh>
    <rPh sb="11" eb="12">
      <t>ワリ</t>
    </rPh>
    <rPh sb="14" eb="16">
      <t>ケイジョウ</t>
    </rPh>
    <rPh sb="20" eb="22">
      <t>バアイ</t>
    </rPh>
    <rPh sb="23" eb="25">
      <t>アミカ</t>
    </rPh>
    <phoneticPr fontId="2"/>
  </si>
  <si>
    <t>※主が未加入又は介護非該当だが、平等割のみ計上している場合、網掛けとなります。</t>
    <rPh sb="1" eb="2">
      <t>ヌシ</t>
    </rPh>
    <rPh sb="3" eb="6">
      <t>ミカニュウ</t>
    </rPh>
    <rPh sb="6" eb="7">
      <t>マタ</t>
    </rPh>
    <rPh sb="8" eb="10">
      <t>カイゴ</t>
    </rPh>
    <rPh sb="10" eb="13">
      <t>ヒガイトウ</t>
    </rPh>
    <rPh sb="16" eb="18">
      <t>ビョウドウ</t>
    </rPh>
    <rPh sb="18" eb="19">
      <t>ワリ</t>
    </rPh>
    <rPh sb="21" eb="23">
      <t>ケイジョウ</t>
    </rPh>
    <rPh sb="27" eb="29">
      <t>バアイ</t>
    </rPh>
    <rPh sb="30" eb="32">
      <t>アミカ</t>
    </rPh>
    <phoneticPr fontId="2"/>
  </si>
  <si>
    <t>医療･後期
加入月数</t>
    <rPh sb="0" eb="2">
      <t>イリョウ</t>
    </rPh>
    <rPh sb="3" eb="5">
      <t>コウキ</t>
    </rPh>
    <rPh sb="6" eb="8">
      <t>カニュウ</t>
    </rPh>
    <rPh sb="8" eb="10">
      <t>ツキスウ</t>
    </rPh>
    <phoneticPr fontId="2"/>
  </si>
  <si>
    <t>介護
加入月数</t>
    <rPh sb="0" eb="2">
      <t>カイゴ</t>
    </rPh>
    <rPh sb="3" eb="5">
      <t>カニュウ</t>
    </rPh>
    <rPh sb="5" eb="7">
      <t>ツキスウ</t>
    </rPh>
    <phoneticPr fontId="2"/>
  </si>
  <si>
    <t>R03旧高崎</t>
    <rPh sb="3" eb="4">
      <t>キュウ</t>
    </rPh>
    <rPh sb="4" eb="6">
      <t>タカサキ</t>
    </rPh>
    <phoneticPr fontId="2"/>
  </si>
  <si>
    <t>高崎市　保険年金課　資格賦課担当</t>
    <phoneticPr fontId="2"/>
  </si>
  <si>
    <t>TEL ０２７－３２１－１２３５（直通）</t>
    <phoneticPr fontId="2"/>
  </si>
  <si>
    <t>⑤特例軽減該当</t>
    <rPh sb="1" eb="3">
      <t>トクレイ</t>
    </rPh>
    <rPh sb="3" eb="5">
      <t>ケイゲン</t>
    </rPh>
    <rPh sb="5" eb="7">
      <t>ガイトウ</t>
    </rPh>
    <phoneticPr fontId="2"/>
  </si>
  <si>
    <t>⑥年度途中
加入月</t>
    <rPh sb="1" eb="3">
      <t>ネンド</t>
    </rPh>
    <rPh sb="3" eb="4">
      <t>ト</t>
    </rPh>
    <rPh sb="4" eb="5">
      <t>ナカ</t>
    </rPh>
    <rPh sb="6" eb="8">
      <t>カニュウ</t>
    </rPh>
    <rPh sb="8" eb="9">
      <t>ツキ</t>
    </rPh>
    <phoneticPr fontId="2"/>
  </si>
  <si>
    <t>⑥年度途中
脱退月</t>
    <rPh sb="1" eb="3">
      <t>ネンド</t>
    </rPh>
    <rPh sb="3" eb="5">
      <t>トチュウ</t>
    </rPh>
    <rPh sb="6" eb="8">
      <t>ダッタイ</t>
    </rPh>
    <rPh sb="8" eb="9">
      <t>ツキ</t>
    </rPh>
    <phoneticPr fontId="2"/>
  </si>
  <si>
    <t>軽減なし</t>
    <phoneticPr fontId="2"/>
  </si>
  <si>
    <t>未申告者有り</t>
  </si>
  <si>
    <t>高崎市　保険年金課　資格賦課担当</t>
    <rPh sb="0" eb="3">
      <t>タカサキシ</t>
    </rPh>
    <rPh sb="4" eb="9">
      <t>ホケンネンキンカ</t>
    </rPh>
    <rPh sb="10" eb="12">
      <t>シカク</t>
    </rPh>
    <rPh sb="12" eb="14">
      <t>フカ</t>
    </rPh>
    <rPh sb="14" eb="16">
      <t>タントウ</t>
    </rPh>
    <phoneticPr fontId="2"/>
  </si>
  <si>
    <t>TEL ０２７－３２１－１２３５（直通）</t>
  </si>
  <si>
    <r>
      <t>③　</t>
    </r>
    <r>
      <rPr>
        <b/>
        <sz val="11"/>
        <color indexed="12"/>
        <rFont val="ＭＳ Ｐゴシック"/>
        <family val="3"/>
        <charset val="128"/>
      </rPr>
      <t>年金収入</t>
    </r>
    <r>
      <rPr>
        <sz val="11"/>
        <color indexed="12"/>
        <rFont val="ＭＳ Ｐゴシック"/>
        <family val="3"/>
        <charset val="128"/>
      </rPr>
      <t>（公的年金)は、源泉徴収票の</t>
    </r>
    <r>
      <rPr>
        <sz val="11"/>
        <color indexed="10"/>
        <rFont val="ＭＳ Ｐゴシック"/>
        <family val="3"/>
        <charset val="128"/>
      </rPr>
      <t>支払金額</t>
    </r>
    <r>
      <rPr>
        <sz val="11"/>
        <color indexed="12"/>
        <rFont val="ＭＳ Ｐゴシック"/>
        <family val="3"/>
        <charset val="128"/>
      </rPr>
      <t xml:space="preserve">を入力してください。（遺族年金、障害年金は除いてください。）　     </t>
    </r>
    <rPh sb="2" eb="4">
      <t>ネンキン</t>
    </rPh>
    <rPh sb="4" eb="6">
      <t>シュウニュウ</t>
    </rPh>
    <phoneticPr fontId="2"/>
  </si>
  <si>
    <r>
      <t>④その他所得の営業、農業、その他の事業、不動産等の収入金額は必要経費を除いた</t>
    </r>
    <r>
      <rPr>
        <sz val="11"/>
        <color rgb="FFFF0000"/>
        <rFont val="ＭＳ Ｐゴシック"/>
        <family val="3"/>
        <charset val="128"/>
      </rPr>
      <t>所得金額</t>
    </r>
    <r>
      <rPr>
        <sz val="11"/>
        <color indexed="12"/>
        <rFont val="ＭＳ Ｐゴシック"/>
        <family val="3"/>
        <charset val="128"/>
      </rPr>
      <t>を合計して入力してください。　
⑤　所得に応じた均等割・平等割の軽減判定には対応していません。
※　</t>
    </r>
    <r>
      <rPr>
        <b/>
        <sz val="11"/>
        <color rgb="FFFF0000"/>
        <rFont val="ＭＳ Ｐゴシック"/>
        <family val="3"/>
        <charset val="128"/>
      </rPr>
      <t>特定同一世帯所属者</t>
    </r>
    <r>
      <rPr>
        <sz val="11"/>
        <color rgb="FFFF0000"/>
        <rFont val="ＭＳ Ｐゴシック"/>
        <family val="3"/>
        <charset val="128"/>
      </rPr>
      <t>（旧国保被保険者）の軽減判定</t>
    </r>
    <r>
      <rPr>
        <sz val="11"/>
        <color indexed="12"/>
        <rFont val="ＭＳ Ｐゴシック"/>
        <family val="3"/>
        <charset val="128"/>
      </rPr>
      <t>及び</t>
    </r>
    <r>
      <rPr>
        <b/>
        <sz val="11"/>
        <color rgb="FFFF0000"/>
        <rFont val="ＭＳ Ｐゴシック"/>
        <family val="3"/>
        <charset val="128"/>
      </rPr>
      <t>条例減免</t>
    </r>
    <r>
      <rPr>
        <sz val="11"/>
        <color indexed="12"/>
        <rFont val="ＭＳ Ｐゴシック"/>
        <family val="3"/>
        <charset val="128"/>
      </rPr>
      <t>には対応していません。</t>
    </r>
    <phoneticPr fontId="2"/>
  </si>
  <si>
    <t>加入月（●：医療･後期、■：介護）</t>
  </si>
  <si>
    <t>　※公的年金以外の合計所得が1,000万円を超えた場合は対応していません。　　</t>
    <phoneticPr fontId="2"/>
  </si>
  <si>
    <t>※生年月日によっては、加入月が1年間でない場合があります。</t>
    <rPh sb="1" eb="3">
      <t>セイネン</t>
    </rPh>
    <rPh sb="3" eb="5">
      <t>ガッピ</t>
    </rPh>
    <rPh sb="11" eb="13">
      <t>カニュウ</t>
    </rPh>
    <rPh sb="13" eb="14">
      <t>ツキ</t>
    </rPh>
    <rPh sb="16" eb="17">
      <t>ネン</t>
    </rPh>
    <rPh sb="17" eb="18">
      <t>カン</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</si>
</sst>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Red]\-#,##0\ "/>
    <numFmt numFmtId="177" formatCode="#,##0.0_ ;[Red]\-#,##0.0\ "/>
    <numFmt numFmtId="178" formatCode="0\ &quot;年&quot;&quot;度&quot;"/>
    <numFmt numFmtId="179" formatCode="#,##0_);[Red]\(#,##0\)"/>
    <numFmt numFmtId="180" formatCode="[&lt;=999]000;[&lt;=9999]000\-00;000\-0000"/>
    <numFmt numFmtId="181" formatCode="0\ \ &quot;人&quot;"/>
    <numFmt numFmtId="182" formatCode="#,##0\ \ "/>
    <numFmt numFmtId="183" formatCode="0.00000"/>
    <numFmt numFmtId="184" formatCode="#,##0;&quot;▲&quot;#,##0"/>
    <numFmt numFmtId="185" formatCode="#,##0;[Red]\▲#,##0"/>
    <numFmt numFmtId="186" formatCode="0_ "/>
    <numFmt numFmtId="187" formatCode="[$-411]gee\.mm\.dd;@"/>
    <numFmt numFmtId="188" formatCode="0&quot; &quot;&quot;月 &quot;"/>
    <numFmt numFmtId="189" formatCode="0\ &quot;月&quot;&quot;加&quot;&quot;入&quot;"/>
    <numFmt numFmtId="190" formatCode="0\ &quot;月&quot;"/>
    <numFmt numFmtId="191" formatCode="#,##0;&quot;▲ &quot;#,##0"/>
    <numFmt numFmtId="192" formatCode="#,##0\ ;[Red]\-#,##0\ "/>
    <numFmt numFmtId="193" formatCode="0&quot; 月分 &quot;"/>
    <numFmt numFmtId="194" formatCode="&quot; 計：&quot;#,##0"/>
    <numFmt numFmtId="195" formatCode="0\ &quot;月&quot;&quot;脱退&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8"/>
      <name val="ＭＳ ゴシック"/>
      <family val="3"/>
      <charset val="128"/>
    </font>
    <font>
      <b/>
      <sz val="11"/>
      <color indexed="10"/>
      <name val="ＭＳ ゴシック"/>
      <family val="3"/>
      <charset val="128"/>
    </font>
    <font>
      <sz val="10"/>
      <name val="ＭＳ ゴシック"/>
      <family val="3"/>
      <charset val="128"/>
    </font>
    <font>
      <b/>
      <sz val="11"/>
      <color indexed="12"/>
      <name val="ＭＳ ゴシック"/>
      <family val="3"/>
      <charset val="128"/>
    </font>
    <font>
      <sz val="11"/>
      <color indexed="12"/>
      <name val="ＭＳ ゴシック"/>
      <family val="3"/>
      <charset val="128"/>
    </font>
    <font>
      <sz val="8"/>
      <name val="ＭＳ ゴシック"/>
      <family val="3"/>
      <charset val="128"/>
    </font>
    <font>
      <b/>
      <sz val="11"/>
      <color indexed="18"/>
      <name val="ＭＳ Ｐゴシック"/>
      <family val="3"/>
      <charset val="128"/>
    </font>
    <font>
      <b/>
      <sz val="11"/>
      <color indexed="53"/>
      <name val="ＭＳ Ｐゴシック"/>
      <family val="3"/>
      <charset val="128"/>
    </font>
    <font>
      <sz val="11"/>
      <color indexed="12"/>
      <name val="ＭＳ Ｐゴシック"/>
      <family val="3"/>
      <charset val="128"/>
    </font>
    <font>
      <b/>
      <sz val="11"/>
      <color indexed="12"/>
      <name val="ＭＳ Ｐゴシック"/>
      <family val="3"/>
      <charset val="128"/>
    </font>
    <font>
      <sz val="11"/>
      <color indexed="10"/>
      <name val="ＭＳ Ｐゴシック"/>
      <family val="3"/>
      <charset val="128"/>
    </font>
    <font>
      <b/>
      <sz val="11"/>
      <name val="ＭＳ ゴシック"/>
      <family val="3"/>
      <charset val="128"/>
    </font>
    <font>
      <b/>
      <u/>
      <sz val="12"/>
      <color indexed="10"/>
      <name val="ＭＳ Ｐゴシック"/>
      <family val="3"/>
      <charset val="128"/>
    </font>
    <font>
      <b/>
      <sz val="11"/>
      <name val="ＭＳ Ｐゴシック"/>
      <family val="3"/>
      <charset val="128"/>
    </font>
    <font>
      <sz val="11"/>
      <name val="ＭＳ 明朝"/>
      <family val="1"/>
      <charset val="128"/>
    </font>
    <font>
      <b/>
      <sz val="18"/>
      <name val="ＭＳ Ｐゴシック"/>
      <family val="3"/>
      <charset val="128"/>
    </font>
    <font>
      <b/>
      <sz val="11"/>
      <color rgb="FFFF33CC"/>
      <name val="ＭＳ ゴシック"/>
      <family val="3"/>
      <charset val="128"/>
    </font>
    <font>
      <b/>
      <i/>
      <sz val="16"/>
      <color rgb="FFFF0000"/>
      <name val="ＭＳ ゴシック"/>
      <family val="3"/>
      <charset val="128"/>
    </font>
    <font>
      <b/>
      <i/>
      <sz val="16"/>
      <color rgb="FFFF0000"/>
      <name val="ＭＳ Ｐゴシック"/>
      <family val="3"/>
      <charset val="128"/>
    </font>
    <font>
      <sz val="26"/>
      <color rgb="FFFF0000"/>
      <name val="ＭＳ ゴシック"/>
      <family val="3"/>
      <charset val="128"/>
    </font>
    <font>
      <sz val="26"/>
      <color rgb="FFFF0000"/>
      <name val="ＭＳ Ｐゴシック"/>
      <family val="3"/>
      <charset val="128"/>
    </font>
    <font>
      <sz val="11"/>
      <color rgb="FFFF0000"/>
      <name val="ＭＳ Ｐゴシック"/>
      <family val="3"/>
      <charset val="128"/>
    </font>
    <font>
      <b/>
      <sz val="14"/>
      <color theme="0"/>
      <name val="ＭＳ ゴシック"/>
      <family val="3"/>
      <charset val="128"/>
    </font>
    <font>
      <sz val="11"/>
      <color theme="0"/>
      <name val="ＭＳ ゴシック"/>
      <family val="3"/>
      <charset val="128"/>
    </font>
    <font>
      <b/>
      <sz val="11"/>
      <color theme="0"/>
      <name val="ＭＳ ゴシック"/>
      <family val="3"/>
      <charset val="128"/>
    </font>
    <font>
      <sz val="9"/>
      <name val="ＭＳ ゴシック"/>
      <family val="3"/>
      <charset val="128"/>
    </font>
    <font>
      <b/>
      <sz val="11"/>
      <color rgb="FF3333FF"/>
      <name val="ＭＳ Ｐゴシック"/>
      <family val="3"/>
      <charset val="128"/>
    </font>
    <font>
      <b/>
      <sz val="10"/>
      <color theme="5" tint="-0.249977111117893"/>
      <name val="ＭＳ ゴシック"/>
      <family val="3"/>
      <charset val="128"/>
    </font>
    <font>
      <b/>
      <sz val="13"/>
      <color rgb="FFFF0000"/>
      <name val="ＭＳ Ｐゴシック"/>
      <family val="3"/>
      <charset val="128"/>
    </font>
    <font>
      <b/>
      <u/>
      <sz val="11"/>
      <name val="ＭＳ ゴシック"/>
      <family val="3"/>
      <charset val="128"/>
    </font>
    <font>
      <sz val="12"/>
      <name val="ＭＳ ゴシック"/>
      <family val="3"/>
      <charset val="128"/>
    </font>
    <font>
      <sz val="9"/>
      <name val="ＭＳ Ｐゴシック"/>
      <family val="3"/>
      <charset val="128"/>
    </font>
    <font>
      <b/>
      <u/>
      <sz val="11"/>
      <color rgb="FFFF9900"/>
      <name val="ＭＳ ゴシック"/>
      <family val="3"/>
      <charset val="128"/>
    </font>
    <font>
      <sz val="11"/>
      <color rgb="FFFF0000"/>
      <name val="ＭＳ ゴシック"/>
      <family val="3"/>
      <charset val="128"/>
    </font>
    <font>
      <b/>
      <sz val="11"/>
      <color rgb="FFFF0000"/>
      <name val="ＭＳ ゴシック"/>
      <family val="3"/>
      <charset val="128"/>
    </font>
    <font>
      <b/>
      <sz val="11"/>
      <color rgb="FFFF0000"/>
      <name val="ＭＳ Ｐゴシック"/>
      <family val="3"/>
      <charset val="128"/>
    </font>
    <font>
      <sz val="12"/>
      <color indexed="81"/>
      <name val="ＭＳ 明朝"/>
      <family val="1"/>
      <charset val="128"/>
    </font>
    <font>
      <sz val="11"/>
      <color indexed="81"/>
      <name val="ＭＳ 明朝"/>
      <family val="1"/>
      <charset val="128"/>
    </font>
    <font>
      <sz val="12"/>
      <color rgb="FFFF0000"/>
      <name val="ＭＳ Ｐゴシック"/>
      <family val="3"/>
      <charset val="128"/>
    </font>
    <font>
      <sz val="12"/>
      <name val="ＭＳ Ｐゴシック"/>
      <family val="3"/>
      <charset val="128"/>
    </font>
    <font>
      <sz val="24"/>
      <color rgb="FFFF0000"/>
      <name val="ＭＳ ゴシック"/>
      <family val="3"/>
      <charset val="128"/>
    </font>
    <font>
      <sz val="24"/>
      <name val="ＭＳ Ｐゴシック"/>
      <family val="3"/>
      <charset val="128"/>
    </font>
    <font>
      <sz val="9"/>
      <color rgb="FFFF0000"/>
      <name val="ＭＳ 明朝"/>
      <family val="1"/>
      <charset val="128"/>
    </font>
    <font>
      <sz val="9"/>
      <color rgb="FFFF0000"/>
      <name val="ＭＳ ゴシック"/>
      <family val="3"/>
      <charset val="128"/>
    </font>
    <font>
      <u/>
      <sz val="9"/>
      <color rgb="FFCC3399"/>
      <name val="ＭＳ ゴシック"/>
      <family val="3"/>
      <charset val="128"/>
    </font>
    <font>
      <b/>
      <sz val="9"/>
      <color indexed="10"/>
      <name val="ＭＳ ゴシック"/>
      <family val="3"/>
      <charset val="128"/>
    </font>
    <font>
      <sz val="10"/>
      <color rgb="FFFF0000"/>
      <name val="ＭＳ ゴシック"/>
      <family val="3"/>
      <charset val="128"/>
    </font>
    <font>
      <sz val="11"/>
      <color theme="0"/>
      <name val="ＭＳ Ｐゴシック"/>
      <family val="3"/>
      <charset val="128"/>
    </font>
    <font>
      <sz val="10"/>
      <color theme="0"/>
      <name val="ＭＳ ゴシック"/>
      <family val="3"/>
      <charset val="128"/>
    </font>
    <font>
      <sz val="10"/>
      <color theme="0"/>
      <name val="ＭＳ Ｐゴシック"/>
      <family val="3"/>
      <charset val="128"/>
    </font>
    <font>
      <sz val="9"/>
      <color theme="0"/>
      <name val="ＭＳ ゴシック"/>
      <family val="3"/>
      <charset val="128"/>
    </font>
    <font>
      <sz val="8"/>
      <color theme="1"/>
      <name val="ＭＳ ゴシック"/>
      <family val="3"/>
      <charset val="128"/>
    </font>
    <font>
      <sz val="11"/>
      <color theme="1"/>
      <name val="ＭＳ ゴシック"/>
      <family val="3"/>
      <charset val="128"/>
    </font>
  </fonts>
  <fills count="1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rgb="FFFFFFCC"/>
        <bgColor indexed="64"/>
      </patternFill>
    </fill>
    <fill>
      <patternFill patternType="solid">
        <fgColor rgb="FFFFFF00"/>
        <bgColor indexed="64"/>
      </patternFill>
    </fill>
    <fill>
      <patternFill patternType="solid">
        <fgColor rgb="FF99FF99"/>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theme="3" tint="0.59996337778862885"/>
        <bgColor indexed="64"/>
      </patternFill>
    </fill>
  </fills>
  <borders count="114">
    <border>
      <left/>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ck">
        <color indexed="64"/>
      </top>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n">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top/>
      <bottom/>
      <diagonal/>
    </border>
    <border>
      <left/>
      <right style="thick">
        <color indexed="64"/>
      </right>
      <top style="thin">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4">
    <xf numFmtId="0" fontId="0" fillId="0" borderId="0" xfId="0">
      <alignment vertical="center"/>
    </xf>
    <xf numFmtId="0" fontId="3" fillId="0" borderId="0" xfId="0" applyFont="1" applyProtection="1">
      <alignment vertical="center"/>
      <protection hidden="1"/>
    </xf>
    <xf numFmtId="38" fontId="9" fillId="3" borderId="4" xfId="0" applyNumberFormat="1" applyFont="1" applyFill="1" applyBorder="1" applyProtection="1">
      <alignment vertical="center"/>
      <protection hidden="1"/>
    </xf>
    <xf numFmtId="0" fontId="3" fillId="0" borderId="6" xfId="0" applyFont="1" applyBorder="1" applyProtection="1">
      <alignment vertical="center"/>
      <protection hidden="1"/>
    </xf>
    <xf numFmtId="0" fontId="3" fillId="0" borderId="0" xfId="0" applyFont="1" applyAlignment="1" applyProtection="1">
      <alignment vertical="center" wrapText="1"/>
      <protection hidden="1"/>
    </xf>
    <xf numFmtId="181" fontId="9" fillId="3" borderId="4" xfId="0" applyNumberFormat="1" applyFont="1" applyFill="1" applyBorder="1" applyProtection="1">
      <alignment vertical="center"/>
      <protection hidden="1"/>
    </xf>
    <xf numFmtId="38" fontId="9" fillId="3" borderId="4" xfId="0" applyNumberFormat="1" applyFont="1" applyFill="1" applyBorder="1" applyAlignment="1" applyProtection="1">
      <alignment horizontal="center" vertical="center"/>
      <protection hidden="1"/>
    </xf>
    <xf numFmtId="179" fontId="12" fillId="0" borderId="0" xfId="0" applyNumberFormat="1" applyFont="1" applyAlignment="1" applyProtection="1">
      <alignment horizontal="left" vertical="center" indent="2"/>
      <protection hidden="1"/>
    </xf>
    <xf numFmtId="0" fontId="0" fillId="0" borderId="0" xfId="0" applyAlignment="1" applyProtection="1">
      <alignment horizontal="left" vertical="center" indent="2"/>
      <protection hidden="1"/>
    </xf>
    <xf numFmtId="179" fontId="13" fillId="0" borderId="0" xfId="0" applyNumberFormat="1" applyFont="1" applyAlignment="1" applyProtection="1">
      <alignment horizontal="left" vertical="center" indent="2"/>
      <protection hidden="1"/>
    </xf>
    <xf numFmtId="179" fontId="14" fillId="0" borderId="0" xfId="0" applyNumberFormat="1" applyFont="1" applyAlignment="1" applyProtection="1">
      <alignment horizontal="left" vertical="center" indent="3"/>
      <protection hidden="1"/>
    </xf>
    <xf numFmtId="179" fontId="14" fillId="0" borderId="0" xfId="0" applyNumberFormat="1" applyFont="1" applyAlignment="1" applyProtection="1">
      <alignment horizontal="left" vertical="top" indent="3"/>
      <protection hidden="1"/>
    </xf>
    <xf numFmtId="38" fontId="9" fillId="3" borderId="10" xfId="0" applyNumberFormat="1" applyFont="1" applyFill="1" applyBorder="1" applyProtection="1">
      <alignment vertical="center"/>
      <protection hidden="1"/>
    </xf>
    <xf numFmtId="38" fontId="7" fillId="3" borderId="11" xfId="0" applyNumberFormat="1" applyFont="1" applyFill="1" applyBorder="1" applyProtection="1">
      <alignment vertical="center"/>
      <protection hidden="1"/>
    </xf>
    <xf numFmtId="0" fontId="3" fillId="5" borderId="12" xfId="0" quotePrefix="1" applyFont="1" applyFill="1" applyBorder="1" applyAlignment="1" applyProtection="1">
      <alignment horizontal="center" vertical="center"/>
      <protection hidden="1"/>
    </xf>
    <xf numFmtId="0" fontId="3" fillId="5" borderId="13" xfId="0" quotePrefix="1"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wrapText="1"/>
      <protection hidden="1"/>
    </xf>
    <xf numFmtId="0" fontId="3" fillId="5" borderId="14" xfId="0" applyFont="1" applyFill="1" applyBorder="1" applyAlignment="1" applyProtection="1">
      <alignment horizontal="center" vertical="center"/>
      <protection hidden="1"/>
    </xf>
    <xf numFmtId="0" fontId="3" fillId="0" borderId="0" xfId="0" applyFont="1" applyProtection="1">
      <alignment vertical="center"/>
    </xf>
    <xf numFmtId="0" fontId="5" fillId="0" borderId="6" xfId="0" applyFont="1" applyBorder="1" applyProtection="1">
      <alignment vertical="center"/>
    </xf>
    <xf numFmtId="177" fontId="5" fillId="0" borderId="6" xfId="1" applyNumberFormat="1" applyFont="1" applyBorder="1" applyProtection="1">
      <alignment vertical="center"/>
    </xf>
    <xf numFmtId="0" fontId="3" fillId="0" borderId="6" xfId="0" applyFont="1" applyBorder="1" applyProtection="1">
      <alignment vertical="center"/>
    </xf>
    <xf numFmtId="0" fontId="3" fillId="0" borderId="6" xfId="0" applyFont="1" applyBorder="1" applyAlignment="1" applyProtection="1">
      <alignment horizontal="center" vertical="center"/>
    </xf>
    <xf numFmtId="38" fontId="3" fillId="0" borderId="6" xfId="1" applyFont="1" applyBorder="1" applyProtection="1">
      <alignment vertical="center"/>
    </xf>
    <xf numFmtId="38" fontId="3" fillId="0" borderId="19" xfId="1" applyFont="1" applyBorder="1" applyProtection="1">
      <alignment vertical="center"/>
    </xf>
    <xf numFmtId="9" fontId="3" fillId="0" borderId="6" xfId="0" applyNumberFormat="1" applyFont="1" applyBorder="1" applyAlignment="1" applyProtection="1">
      <alignment horizontal="center" vertical="center"/>
    </xf>
    <xf numFmtId="176" fontId="5" fillId="0" borderId="6" xfId="1" applyNumberFormat="1" applyFont="1" applyBorder="1" applyProtection="1">
      <alignment vertical="center"/>
    </xf>
    <xf numFmtId="3" fontId="3" fillId="0" borderId="0" xfId="0" applyNumberFormat="1" applyFont="1" applyBorder="1" applyAlignment="1" applyProtection="1">
      <alignment horizontal="right" vertical="center"/>
      <protection hidden="1"/>
    </xf>
    <xf numFmtId="0" fontId="3" fillId="0" borderId="0" xfId="0" applyFont="1" applyAlignment="1" applyProtection="1">
      <alignment vertical="center"/>
      <protection hidden="1"/>
    </xf>
    <xf numFmtId="3" fontId="3" fillId="0" borderId="6" xfId="0" applyNumberFormat="1" applyFont="1" applyBorder="1" applyAlignment="1" applyProtection="1">
      <alignment vertical="center" shrinkToFit="1"/>
      <protection hidden="1"/>
    </xf>
    <xf numFmtId="0" fontId="3" fillId="0" borderId="0" xfId="0" applyFont="1" applyAlignment="1" applyProtection="1">
      <alignment vertical="center" shrinkToFit="1"/>
      <protection hidden="1"/>
    </xf>
    <xf numFmtId="3" fontId="3" fillId="0" borderId="0" xfId="0" applyNumberFormat="1" applyFont="1" applyAlignment="1" applyProtection="1">
      <alignment vertical="center" shrinkToFit="1"/>
      <protection hidden="1"/>
    </xf>
    <xf numFmtId="3" fontId="3" fillId="4" borderId="6" xfId="0" applyNumberFormat="1" applyFont="1" applyFill="1" applyBorder="1" applyAlignment="1" applyProtection="1">
      <alignment vertical="center" shrinkToFit="1"/>
      <protection locked="0"/>
    </xf>
    <xf numFmtId="3" fontId="3" fillId="4" borderId="9" xfId="0" applyNumberFormat="1" applyFont="1" applyFill="1" applyBorder="1" applyAlignment="1" applyProtection="1">
      <alignment vertical="center" shrinkToFit="1"/>
      <protection locked="0"/>
    </xf>
    <xf numFmtId="0" fontId="3" fillId="2" borderId="20" xfId="0" applyFont="1" applyFill="1" applyBorder="1" applyAlignment="1" applyProtection="1">
      <alignment horizontal="center" vertical="center"/>
      <protection hidden="1"/>
    </xf>
    <xf numFmtId="0" fontId="3" fillId="2" borderId="20" xfId="0" applyFont="1" applyFill="1" applyBorder="1" applyAlignment="1" applyProtection="1">
      <alignment horizontal="center" vertical="center" shrinkToFit="1"/>
      <protection hidden="1"/>
    </xf>
    <xf numFmtId="3" fontId="3" fillId="2" borderId="23" xfId="0" applyNumberFormat="1" applyFont="1" applyFill="1" applyBorder="1" applyAlignment="1" applyProtection="1">
      <alignment vertical="center" shrinkToFit="1"/>
      <protection hidden="1"/>
    </xf>
    <xf numFmtId="3" fontId="3" fillId="2" borderId="6" xfId="0" applyNumberFormat="1" applyFont="1" applyFill="1" applyBorder="1" applyAlignment="1" applyProtection="1">
      <alignment vertical="center" shrinkToFit="1"/>
      <protection hidden="1"/>
    </xf>
    <xf numFmtId="0" fontId="3" fillId="2" borderId="20" xfId="0" quotePrefix="1" applyFont="1" applyFill="1" applyBorder="1" applyAlignment="1" applyProtection="1">
      <alignment horizontal="center" vertical="center"/>
      <protection hidden="1"/>
    </xf>
    <xf numFmtId="0" fontId="3" fillId="2" borderId="20" xfId="0" quotePrefix="1" applyFont="1" applyFill="1" applyBorder="1" applyAlignment="1" applyProtection="1">
      <alignment horizontal="center" vertical="center" shrinkToFit="1"/>
      <protection hidden="1"/>
    </xf>
    <xf numFmtId="0" fontId="3" fillId="2" borderId="21" xfId="0" quotePrefix="1" applyFont="1" applyFill="1" applyBorder="1" applyAlignment="1" applyProtection="1">
      <alignment horizontal="center" vertical="center"/>
      <protection hidden="1"/>
    </xf>
    <xf numFmtId="0" fontId="3" fillId="2" borderId="21" xfId="0" quotePrefix="1" applyFont="1" applyFill="1" applyBorder="1" applyAlignment="1" applyProtection="1">
      <alignment horizontal="center" vertical="center" shrinkToFit="1"/>
      <protection hidden="1"/>
    </xf>
    <xf numFmtId="3" fontId="3" fillId="2" borderId="26" xfId="0" applyNumberFormat="1" applyFont="1" applyFill="1" applyBorder="1" applyAlignment="1" applyProtection="1">
      <alignment vertical="center" shrinkToFit="1"/>
      <protection hidden="1"/>
    </xf>
    <xf numFmtId="3" fontId="3" fillId="2" borderId="27" xfId="0" applyNumberFormat="1" applyFont="1" applyFill="1" applyBorder="1" applyAlignment="1" applyProtection="1">
      <alignment vertical="center" shrinkToFit="1"/>
      <protection hidden="1"/>
    </xf>
    <xf numFmtId="0" fontId="3" fillId="2" borderId="23"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0" borderId="6" xfId="0" applyFont="1" applyBorder="1" applyAlignment="1" applyProtection="1">
      <alignment vertical="center" shrinkToFit="1"/>
      <protection hidden="1"/>
    </xf>
    <xf numFmtId="183" fontId="3" fillId="0" borderId="0" xfId="0" applyNumberFormat="1" applyFont="1" applyAlignment="1" applyProtection="1">
      <alignment vertical="center" shrinkToFit="1"/>
      <protection hidden="1"/>
    </xf>
    <xf numFmtId="0" fontId="22" fillId="5" borderId="33" xfId="0" applyFont="1" applyFill="1" applyBorder="1" applyAlignment="1" applyProtection="1">
      <alignment horizontal="center" vertical="center"/>
      <protection hidden="1"/>
    </xf>
    <xf numFmtId="56" fontId="3" fillId="0" borderId="0" xfId="0" quotePrefix="1" applyNumberFormat="1" applyFont="1" applyProtection="1">
      <alignment vertical="center"/>
      <protection hidden="1"/>
    </xf>
    <xf numFmtId="0" fontId="20" fillId="0" borderId="0" xfId="0" applyFont="1">
      <alignment vertical="center"/>
    </xf>
    <xf numFmtId="0" fontId="20" fillId="0" borderId="6" xfId="0" applyFont="1" applyBorder="1" applyProtection="1">
      <alignment vertical="center"/>
    </xf>
    <xf numFmtId="176" fontId="20" fillId="0" borderId="6" xfId="1" applyNumberFormat="1" applyFont="1" applyBorder="1" applyProtection="1">
      <alignment vertical="center"/>
    </xf>
    <xf numFmtId="0" fontId="20" fillId="0" borderId="31" xfId="0" applyFont="1" applyBorder="1">
      <alignment vertical="center"/>
    </xf>
    <xf numFmtId="0" fontId="20" fillId="0" borderId="22" xfId="0" applyFont="1" applyBorder="1">
      <alignment vertical="center"/>
    </xf>
    <xf numFmtId="0" fontId="20" fillId="0" borderId="18" xfId="0" applyFont="1" applyBorder="1">
      <alignment vertical="center"/>
    </xf>
    <xf numFmtId="0" fontId="20" fillId="0" borderId="34" xfId="0" applyFont="1" applyBorder="1">
      <alignment vertical="center"/>
    </xf>
    <xf numFmtId="0" fontId="20" fillId="0" borderId="35" xfId="0" applyFont="1" applyBorder="1">
      <alignment vertical="center"/>
    </xf>
    <xf numFmtId="0" fontId="20" fillId="0" borderId="6" xfId="0" applyFont="1" applyBorder="1">
      <alignment vertical="center"/>
    </xf>
    <xf numFmtId="176" fontId="20" fillId="0" borderId="22" xfId="1" applyNumberFormat="1" applyFont="1" applyBorder="1" applyProtection="1">
      <alignment vertical="center"/>
    </xf>
    <xf numFmtId="0" fontId="20" fillId="0" borderId="36" xfId="0" applyFont="1" applyBorder="1">
      <alignment vertical="center"/>
    </xf>
    <xf numFmtId="178" fontId="6" fillId="9" borderId="0" xfId="0" applyNumberFormat="1" applyFont="1" applyFill="1" applyProtection="1">
      <alignment vertical="center"/>
    </xf>
    <xf numFmtId="38" fontId="3" fillId="9" borderId="6" xfId="1" applyFont="1" applyFill="1" applyBorder="1" applyProtection="1">
      <alignment vertical="center"/>
    </xf>
    <xf numFmtId="186" fontId="28" fillId="10" borderId="0" xfId="0" applyNumberFormat="1" applyFont="1" applyFill="1" applyAlignment="1" applyProtection="1">
      <alignment vertical="top"/>
      <protection hidden="1"/>
    </xf>
    <xf numFmtId="0" fontId="28" fillId="10" borderId="0" xfId="0" applyFont="1" applyFill="1" applyProtection="1">
      <alignment vertical="center"/>
      <protection hidden="1"/>
    </xf>
    <xf numFmtId="0" fontId="29" fillId="10" borderId="0" xfId="0" applyFont="1" applyFill="1" applyProtection="1">
      <alignment vertical="center"/>
      <protection hidden="1"/>
    </xf>
    <xf numFmtId="38" fontId="30" fillId="10" borderId="0" xfId="0" applyNumberFormat="1" applyFont="1" applyFill="1" applyBorder="1" applyAlignment="1" applyProtection="1">
      <alignment horizontal="center" vertical="center"/>
      <protection hidden="1"/>
    </xf>
    <xf numFmtId="184" fontId="30" fillId="10" borderId="0" xfId="0" applyNumberFormat="1" applyFont="1" applyFill="1" applyBorder="1" applyAlignment="1" applyProtection="1">
      <alignment horizontal="center" vertical="center"/>
      <protection hidden="1"/>
    </xf>
    <xf numFmtId="38" fontId="30" fillId="10" borderId="0" xfId="0" applyNumberFormat="1" applyFont="1" applyFill="1" applyBorder="1" applyAlignment="1" applyProtection="1">
      <alignment vertical="center"/>
      <protection hidden="1"/>
    </xf>
    <xf numFmtId="185" fontId="30" fillId="10" borderId="0" xfId="0" applyNumberFormat="1" applyFont="1" applyFill="1" applyBorder="1" applyAlignment="1" applyProtection="1">
      <alignment vertical="center"/>
      <protection hidden="1"/>
    </xf>
    <xf numFmtId="0" fontId="26" fillId="0" borderId="0" xfId="0" applyFont="1" applyAlignment="1">
      <alignment horizontal="center" vertical="center"/>
    </xf>
    <xf numFmtId="0" fontId="3" fillId="0" borderId="6" xfId="0" quotePrefix="1" applyFont="1" applyBorder="1" applyAlignment="1" applyProtection="1">
      <alignment vertical="center" shrinkToFit="1"/>
      <protection hidden="1"/>
    </xf>
    <xf numFmtId="38" fontId="3" fillId="0" borderId="6" xfId="1" applyFont="1" applyBorder="1" applyAlignment="1" applyProtection="1">
      <alignment vertical="center" shrinkToFit="1"/>
      <protection hidden="1"/>
    </xf>
    <xf numFmtId="3" fontId="3" fillId="0" borderId="0" xfId="0" applyNumberFormat="1" applyFont="1" applyBorder="1" applyAlignment="1" applyProtection="1">
      <alignment vertical="center" shrinkToFit="1"/>
      <protection hidden="1"/>
    </xf>
    <xf numFmtId="0" fontId="3" fillId="0" borderId="0" xfId="0" applyFont="1" applyBorder="1" applyAlignment="1" applyProtection="1">
      <alignment vertical="center" shrinkToFit="1"/>
      <protection hidden="1"/>
    </xf>
    <xf numFmtId="0" fontId="5" fillId="0" borderId="6" xfId="0" applyFont="1" applyBorder="1" applyAlignment="1" applyProtection="1">
      <alignment horizontal="center" vertical="center" wrapText="1"/>
    </xf>
    <xf numFmtId="176" fontId="5" fillId="9" borderId="6" xfId="1" applyNumberFormat="1" applyFont="1" applyFill="1" applyBorder="1" applyAlignment="1" applyProtection="1">
      <alignment horizontal="center" vertical="center"/>
    </xf>
    <xf numFmtId="0" fontId="33" fillId="0" borderId="0" xfId="0" applyFont="1" applyProtection="1">
      <alignment vertical="center"/>
      <protection hidden="1"/>
    </xf>
    <xf numFmtId="0" fontId="21" fillId="0" borderId="0" xfId="0" applyFont="1" applyAlignment="1">
      <alignment vertical="center"/>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xf>
    <xf numFmtId="0" fontId="8" fillId="0" borderId="0" xfId="0" applyFont="1" applyFill="1" applyBorder="1" applyAlignment="1" applyProtection="1">
      <alignment vertical="center" wrapText="1"/>
      <protection hidden="1"/>
    </xf>
    <xf numFmtId="179" fontId="32" fillId="0" borderId="0" xfId="0" applyNumberFormat="1" applyFont="1" applyFill="1" applyAlignment="1" applyProtection="1">
      <alignment horizontal="left" vertical="center" indent="2"/>
      <protection hidden="1"/>
    </xf>
    <xf numFmtId="0" fontId="3" fillId="5" borderId="12" xfId="0" quotePrefix="1" applyFont="1" applyFill="1" applyBorder="1" applyAlignment="1" applyProtection="1">
      <alignment horizontal="center" vertical="center"/>
    </xf>
    <xf numFmtId="187" fontId="3" fillId="4" borderId="6" xfId="0" applyNumberFormat="1" applyFont="1" applyFill="1" applyBorder="1" applyAlignment="1" applyProtection="1">
      <alignment horizontal="center" vertical="center" shrinkToFit="1"/>
      <protection locked="0"/>
    </xf>
    <xf numFmtId="187" fontId="3" fillId="4" borderId="9" xfId="0" applyNumberFormat="1" applyFont="1" applyFill="1" applyBorder="1" applyAlignment="1" applyProtection="1">
      <alignment horizontal="center" vertical="center" shrinkToFit="1"/>
      <protection locked="0"/>
    </xf>
    <xf numFmtId="0" fontId="3" fillId="0" borderId="0" xfId="0" applyNumberFormat="1" applyFont="1" applyProtection="1">
      <alignment vertical="center"/>
      <protection hidden="1"/>
    </xf>
    <xf numFmtId="0" fontId="3" fillId="0" borderId="2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3" fillId="0" borderId="0" xfId="0" applyNumberFormat="1" applyFont="1" applyAlignment="1" applyProtection="1">
      <alignment vertical="center" shrinkToFit="1"/>
      <protection hidden="1"/>
    </xf>
    <xf numFmtId="0" fontId="3" fillId="0" borderId="23" xfId="0" applyFont="1" applyBorder="1" applyAlignment="1" applyProtection="1">
      <alignment horizontal="center" vertical="center" shrinkToFit="1"/>
      <protection hidden="1"/>
    </xf>
    <xf numFmtId="0" fontId="8" fillId="0" borderId="6" xfId="0" applyFont="1" applyBorder="1" applyAlignment="1" applyProtection="1">
      <alignment vertical="center" wrapText="1" shrinkToFit="1"/>
      <protection hidden="1"/>
    </xf>
    <xf numFmtId="190" fontId="3" fillId="0" borderId="0" xfId="0" applyNumberFormat="1" applyFont="1" applyProtection="1">
      <alignment vertical="center"/>
      <protection hidden="1"/>
    </xf>
    <xf numFmtId="0" fontId="21" fillId="0" borderId="0" xfId="0" applyFont="1" applyBorder="1" applyAlignment="1">
      <alignment vertical="center" shrinkToFit="1"/>
    </xf>
    <xf numFmtId="38" fontId="3" fillId="0" borderId="0" xfId="1" applyFont="1" applyBorder="1" applyAlignment="1">
      <alignment vertical="center" shrinkToFit="1"/>
    </xf>
    <xf numFmtId="0" fontId="21" fillId="0" borderId="0" xfId="0" applyFont="1" applyAlignment="1">
      <alignment vertical="center" shrinkToFit="1"/>
    </xf>
    <xf numFmtId="0" fontId="3" fillId="0" borderId="0" xfId="0" applyFont="1" applyAlignment="1" applyProtection="1">
      <alignment horizontal="right" vertical="center" shrinkToFit="1"/>
      <protection hidden="1"/>
    </xf>
    <xf numFmtId="0" fontId="3" fillId="6" borderId="23" xfId="0" applyFont="1" applyFill="1" applyBorder="1" applyAlignment="1" applyProtection="1">
      <alignment horizontal="center" vertical="center"/>
      <protection hidden="1"/>
    </xf>
    <xf numFmtId="0" fontId="3" fillId="6" borderId="6"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1" fillId="12" borderId="6" xfId="0" applyFont="1" applyFill="1" applyBorder="1" applyAlignment="1" applyProtection="1">
      <alignment vertical="center" wrapText="1" shrinkToFit="1"/>
      <protection hidden="1"/>
    </xf>
    <xf numFmtId="0" fontId="3" fillId="12" borderId="24" xfId="0" applyFont="1" applyFill="1" applyBorder="1" applyAlignment="1" applyProtection="1">
      <alignment horizontal="center" vertical="center" shrinkToFit="1"/>
      <protection hidden="1"/>
    </xf>
    <xf numFmtId="0" fontId="3" fillId="12" borderId="24" xfId="0" applyFont="1" applyFill="1" applyBorder="1" applyAlignment="1" applyProtection="1">
      <alignment horizontal="center" vertical="center"/>
      <protection hidden="1"/>
    </xf>
    <xf numFmtId="3" fontId="3" fillId="0" borderId="0" xfId="0" applyNumberFormat="1" applyFont="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54" xfId="0" applyNumberFormat="1" applyFont="1" applyBorder="1" applyAlignment="1" applyProtection="1">
      <alignment vertical="center" shrinkToFit="1"/>
      <protection hidden="1"/>
    </xf>
    <xf numFmtId="0" fontId="3" fillId="0" borderId="57" xfId="0" applyNumberFormat="1" applyFont="1" applyBorder="1" applyAlignment="1" applyProtection="1">
      <alignment vertical="center" shrinkToFit="1"/>
      <protection hidden="1"/>
    </xf>
    <xf numFmtId="14" fontId="3" fillId="0" borderId="58" xfId="0" applyNumberFormat="1" applyFont="1" applyBorder="1" applyProtection="1">
      <alignment vertical="center"/>
      <protection hidden="1"/>
    </xf>
    <xf numFmtId="14" fontId="3" fillId="0" borderId="59" xfId="0" applyNumberFormat="1" applyFont="1" applyBorder="1" applyProtection="1">
      <alignment vertical="center"/>
      <protection hidden="1"/>
    </xf>
    <xf numFmtId="14" fontId="3" fillId="0" borderId="55" xfId="0" applyNumberFormat="1" applyFont="1" applyBorder="1" applyProtection="1">
      <alignment vertical="center"/>
      <protection hidden="1"/>
    </xf>
    <xf numFmtId="14" fontId="3" fillId="0" borderId="56" xfId="0" applyNumberFormat="1" applyFont="1" applyBorder="1" applyProtection="1">
      <alignment vertical="center"/>
      <protection hidden="1"/>
    </xf>
    <xf numFmtId="0" fontId="3" fillId="0" borderId="60" xfId="0" applyNumberFormat="1" applyFont="1" applyBorder="1" applyAlignment="1" applyProtection="1">
      <alignment vertical="center" shrinkToFit="1"/>
      <protection hidden="1"/>
    </xf>
    <xf numFmtId="14" fontId="3" fillId="0" borderId="61" xfId="0" applyNumberFormat="1" applyFont="1" applyBorder="1" applyProtection="1">
      <alignment vertical="center"/>
      <protection hidden="1"/>
    </xf>
    <xf numFmtId="14" fontId="3" fillId="0" borderId="62" xfId="0" applyNumberFormat="1" applyFont="1" applyBorder="1" applyProtection="1">
      <alignment vertical="center"/>
      <protection hidden="1"/>
    </xf>
    <xf numFmtId="190" fontId="3" fillId="0" borderId="0" xfId="0" applyNumberFormat="1" applyFont="1" applyFill="1" applyProtection="1">
      <alignment vertical="center"/>
      <protection hidden="1"/>
    </xf>
    <xf numFmtId="14" fontId="3" fillId="0" borderId="55" xfId="0" applyNumberFormat="1" applyFont="1" applyFill="1" applyBorder="1" applyProtection="1">
      <alignment vertical="center"/>
      <protection hidden="1"/>
    </xf>
    <xf numFmtId="14" fontId="3" fillId="0" borderId="56" xfId="0" applyNumberFormat="1" applyFont="1" applyFill="1" applyBorder="1" applyProtection="1">
      <alignment vertical="center"/>
      <protection hidden="1"/>
    </xf>
    <xf numFmtId="0" fontId="3" fillId="2" borderId="21"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shrinkToFit="1"/>
      <protection hidden="1"/>
    </xf>
    <xf numFmtId="0" fontId="3" fillId="2" borderId="23" xfId="0" applyFont="1" applyFill="1" applyBorder="1" applyAlignment="1" applyProtection="1">
      <alignment horizontal="center" vertical="center" shrinkToFit="1"/>
      <protection hidden="1"/>
    </xf>
    <xf numFmtId="0" fontId="3" fillId="2" borderId="6" xfId="0" applyFont="1" applyFill="1" applyBorder="1" applyAlignment="1" applyProtection="1">
      <alignment horizontal="center" vertical="center" shrinkToFit="1"/>
      <protection hidden="1"/>
    </xf>
    <xf numFmtId="38" fontId="3" fillId="2" borderId="23" xfId="1" applyFont="1" applyFill="1" applyBorder="1" applyAlignment="1" applyProtection="1">
      <alignment vertical="center" shrinkToFit="1"/>
      <protection hidden="1"/>
    </xf>
    <xf numFmtId="38" fontId="3" fillId="2" borderId="6" xfId="1" applyFont="1" applyFill="1" applyBorder="1" applyAlignment="1" applyProtection="1">
      <alignment vertical="center" shrinkToFit="1"/>
      <protection hidden="1"/>
    </xf>
    <xf numFmtId="0" fontId="0" fillId="0" borderId="0" xfId="0" applyAlignment="1">
      <alignment horizontal="right" vertical="center"/>
    </xf>
    <xf numFmtId="38" fontId="3" fillId="2" borderId="67" xfId="1" applyFont="1" applyFill="1" applyBorder="1" applyAlignment="1" applyProtection="1">
      <alignment vertical="center" shrinkToFit="1"/>
      <protection hidden="1"/>
    </xf>
    <xf numFmtId="0" fontId="3" fillId="2" borderId="70" xfId="0" applyFont="1" applyFill="1" applyBorder="1" applyAlignment="1" applyProtection="1">
      <alignment horizontal="center" vertical="center"/>
      <protection hidden="1"/>
    </xf>
    <xf numFmtId="0" fontId="3" fillId="2" borderId="70" xfId="0" applyFont="1" applyFill="1" applyBorder="1" applyAlignment="1" applyProtection="1">
      <alignment horizontal="center" vertical="center" shrinkToFit="1"/>
      <protection hidden="1"/>
    </xf>
    <xf numFmtId="191" fontId="0" fillId="0" borderId="0" xfId="0" applyNumberFormat="1" applyAlignment="1">
      <alignment vertical="center"/>
    </xf>
    <xf numFmtId="192" fontId="3" fillId="2" borderId="5" xfId="1" applyNumberFormat="1" applyFont="1" applyFill="1" applyBorder="1" applyProtection="1">
      <alignment vertical="center"/>
      <protection hidden="1"/>
    </xf>
    <xf numFmtId="192" fontId="3" fillId="2" borderId="1" xfId="1" applyNumberFormat="1" applyFont="1" applyFill="1" applyBorder="1" applyProtection="1">
      <alignment vertical="center"/>
      <protection hidden="1"/>
    </xf>
    <xf numFmtId="192" fontId="3" fillId="2" borderId="2" xfId="1" applyNumberFormat="1" applyFont="1" applyFill="1" applyBorder="1" applyProtection="1">
      <alignment vertical="center"/>
      <protection hidden="1"/>
    </xf>
    <xf numFmtId="192" fontId="3" fillId="2" borderId="3" xfId="1" applyNumberFormat="1" applyFont="1" applyFill="1" applyBorder="1" applyProtection="1">
      <alignment vertical="center"/>
      <protection hidden="1"/>
    </xf>
    <xf numFmtId="193" fontId="3" fillId="2" borderId="7" xfId="0" applyNumberFormat="1" applyFont="1" applyFill="1" applyBorder="1" applyAlignment="1" applyProtection="1">
      <alignment vertical="center"/>
      <protection hidden="1"/>
    </xf>
    <xf numFmtId="193" fontId="3" fillId="2" borderId="71" xfId="0" applyNumberFormat="1" applyFont="1" applyFill="1" applyBorder="1" applyAlignment="1" applyProtection="1">
      <alignment vertical="center"/>
      <protection hidden="1"/>
    </xf>
    <xf numFmtId="193" fontId="3" fillId="2" borderId="8" xfId="0" applyNumberFormat="1" applyFont="1" applyFill="1" applyBorder="1" applyAlignment="1" applyProtection="1">
      <alignment vertical="center"/>
      <protection hidden="1"/>
    </xf>
    <xf numFmtId="193" fontId="3" fillId="2" borderId="72" xfId="0" applyNumberFormat="1" applyFont="1" applyFill="1" applyBorder="1" applyAlignment="1" applyProtection="1">
      <alignment vertical="center"/>
      <protection hidden="1"/>
    </xf>
    <xf numFmtId="0" fontId="3" fillId="0" borderId="0" xfId="0" applyFont="1" applyAlignment="1" applyProtection="1">
      <protection hidden="1"/>
    </xf>
    <xf numFmtId="0" fontId="31" fillId="0" borderId="0" xfId="0" applyFont="1" applyAlignment="1" applyProtection="1">
      <alignment vertical="top"/>
      <protection hidden="1"/>
    </xf>
    <xf numFmtId="0" fontId="0" fillId="0" borderId="0" xfId="0" applyAlignment="1">
      <alignment horizontal="left" vertical="center" indent="3"/>
    </xf>
    <xf numFmtId="0" fontId="3" fillId="6" borderId="35"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8" fillId="0" borderId="0" xfId="0" applyFont="1" applyAlignment="1" applyProtection="1">
      <protection hidden="1"/>
    </xf>
    <xf numFmtId="0" fontId="3" fillId="0" borderId="0" xfId="0" applyFont="1" applyAlignment="1" applyProtection="1">
      <alignment horizontal="right" vertical="center"/>
      <protection hidden="1"/>
    </xf>
    <xf numFmtId="3" fontId="3" fillId="0" borderId="31" xfId="0" applyNumberFormat="1" applyFont="1" applyFill="1" applyBorder="1" applyAlignment="1" applyProtection="1">
      <alignment vertical="center" shrinkToFit="1"/>
      <protection hidden="1"/>
    </xf>
    <xf numFmtId="3" fontId="3" fillId="0" borderId="55" xfId="0" applyNumberFormat="1" applyFont="1" applyFill="1" applyBorder="1" applyAlignment="1" applyProtection="1">
      <alignment vertical="center" shrinkToFit="1"/>
      <protection hidden="1"/>
    </xf>
    <xf numFmtId="3" fontId="3" fillId="0" borderId="58" xfId="1" applyNumberFormat="1" applyFont="1" applyBorder="1" applyAlignment="1">
      <alignment vertical="center" shrinkToFit="1"/>
    </xf>
    <xf numFmtId="3" fontId="0" fillId="0" borderId="86" xfId="0" applyNumberFormat="1" applyBorder="1" applyAlignment="1">
      <alignment vertical="center" shrinkToFit="1"/>
    </xf>
    <xf numFmtId="3" fontId="0" fillId="0" borderId="58" xfId="0" applyNumberFormat="1" applyBorder="1" applyAlignment="1">
      <alignment vertical="center" shrinkToFit="1"/>
    </xf>
    <xf numFmtId="0" fontId="3" fillId="0" borderId="55" xfId="0" applyFont="1" applyBorder="1" applyAlignment="1" applyProtection="1">
      <alignment horizontal="right" vertical="center"/>
      <protection hidden="1"/>
    </xf>
    <xf numFmtId="0" fontId="3" fillId="0" borderId="58"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3" fontId="3" fillId="0" borderId="0" xfId="0" applyNumberFormat="1" applyFont="1" applyProtection="1">
      <alignment vertical="center"/>
      <protection hidden="1"/>
    </xf>
    <xf numFmtId="0" fontId="0" fillId="0" borderId="0" xfId="0" applyAlignment="1">
      <alignment vertical="center"/>
    </xf>
    <xf numFmtId="0" fontId="3" fillId="0" borderId="63" xfId="0" applyFont="1" applyBorder="1" applyAlignment="1" applyProtection="1">
      <alignment horizontal="right" vertical="center"/>
      <protection hidden="1"/>
    </xf>
    <xf numFmtId="191" fontId="3" fillId="0" borderId="63" xfId="0" applyNumberFormat="1" applyFont="1" applyBorder="1" applyAlignment="1" applyProtection="1">
      <alignment vertical="center"/>
      <protection hidden="1"/>
    </xf>
    <xf numFmtId="0" fontId="40" fillId="0" borderId="0" xfId="0" applyFont="1" applyAlignment="1" applyProtection="1">
      <alignment horizontal="right" vertical="center"/>
      <protection hidden="1"/>
    </xf>
    <xf numFmtId="0" fontId="40" fillId="0" borderId="0" xfId="0" applyFont="1" applyAlignment="1" applyProtection="1">
      <alignment horizontal="center" vertical="center"/>
      <protection hidden="1"/>
    </xf>
    <xf numFmtId="0" fontId="3" fillId="6" borderId="91" xfId="0" applyFont="1" applyFill="1" applyBorder="1" applyAlignment="1" applyProtection="1">
      <alignment horizontal="center" vertical="center" shrinkToFit="1"/>
      <protection hidden="1"/>
    </xf>
    <xf numFmtId="0" fontId="3" fillId="6" borderId="18" xfId="0" applyFont="1" applyFill="1" applyBorder="1" applyAlignment="1" applyProtection="1">
      <alignment horizontal="center" vertical="center" shrinkToFit="1"/>
      <protection hidden="1"/>
    </xf>
    <xf numFmtId="0" fontId="17" fillId="6" borderId="92" xfId="0" applyFont="1" applyFill="1" applyBorder="1" applyAlignment="1" applyProtection="1">
      <alignment horizontal="center" vertical="center" shrinkToFit="1"/>
      <protection hidden="1"/>
    </xf>
    <xf numFmtId="0" fontId="3" fillId="6" borderId="93" xfId="0" applyFont="1" applyFill="1" applyBorder="1" applyAlignment="1" applyProtection="1">
      <alignment horizontal="center" vertical="center" shrinkToFit="1"/>
      <protection hidden="1"/>
    </xf>
    <xf numFmtId="0" fontId="17" fillId="6" borderId="94" xfId="0" applyFont="1" applyFill="1" applyBorder="1" applyAlignment="1" applyProtection="1">
      <alignment horizontal="center" vertical="center" shrinkToFit="1"/>
      <protection hidden="1"/>
    </xf>
    <xf numFmtId="0" fontId="5" fillId="0" borderId="0" xfId="0" applyFont="1" applyProtection="1">
      <alignment vertical="center"/>
      <protection hidden="1"/>
    </xf>
    <xf numFmtId="0" fontId="3" fillId="8" borderId="6" xfId="0" applyFont="1" applyFill="1" applyBorder="1" applyAlignment="1" applyProtection="1">
      <alignment vertical="center" shrinkToFit="1"/>
      <protection hidden="1"/>
    </xf>
    <xf numFmtId="0" fontId="3" fillId="8" borderId="6" xfId="0" applyFont="1" applyFill="1" applyBorder="1" applyProtection="1">
      <alignment vertical="center"/>
      <protection hidden="1"/>
    </xf>
    <xf numFmtId="3" fontId="3" fillId="8" borderId="6" xfId="0" applyNumberFormat="1" applyFont="1" applyFill="1" applyBorder="1" applyProtection="1">
      <alignment vertical="center"/>
      <protection hidden="1"/>
    </xf>
    <xf numFmtId="38" fontId="3" fillId="8" borderId="6" xfId="0" applyNumberFormat="1" applyFont="1" applyFill="1" applyBorder="1" applyAlignment="1" applyProtection="1">
      <alignment horizontal="right" vertical="center"/>
      <protection hidden="1"/>
    </xf>
    <xf numFmtId="3" fontId="3" fillId="8" borderId="6" xfId="0" applyNumberFormat="1" applyFont="1" applyFill="1" applyBorder="1" applyAlignment="1" applyProtection="1">
      <alignment horizontal="right" vertical="center"/>
      <protection hidden="1"/>
    </xf>
    <xf numFmtId="0" fontId="3" fillId="8" borderId="6" xfId="0" applyFont="1" applyFill="1" applyBorder="1" applyAlignment="1" applyProtection="1">
      <alignment vertical="center"/>
      <protection hidden="1"/>
    </xf>
    <xf numFmtId="38" fontId="3" fillId="2" borderId="68" xfId="1" applyFont="1" applyFill="1" applyBorder="1" applyAlignment="1" applyProtection="1">
      <alignment vertical="center" shrinkToFit="1"/>
      <protection hidden="1"/>
    </xf>
    <xf numFmtId="38" fontId="3" fillId="2" borderId="6" xfId="1" applyFont="1" applyFill="1" applyBorder="1" applyAlignment="1" applyProtection="1">
      <alignment vertical="center" shrinkToFit="1"/>
      <protection hidden="1"/>
    </xf>
    <xf numFmtId="0" fontId="3" fillId="8" borderId="31" xfId="0" applyFont="1" applyFill="1" applyBorder="1" applyAlignment="1" applyProtection="1">
      <alignment vertical="center"/>
      <protection hidden="1"/>
    </xf>
    <xf numFmtId="9" fontId="3" fillId="8" borderId="31" xfId="0" applyNumberFormat="1" applyFont="1" applyFill="1" applyBorder="1" applyAlignment="1" applyProtection="1">
      <alignment horizontal="right" vertical="center"/>
      <protection hidden="1"/>
    </xf>
    <xf numFmtId="0" fontId="3" fillId="0" borderId="31" xfId="0" applyFont="1" applyBorder="1" applyProtection="1">
      <alignment vertical="center"/>
      <protection hidden="1"/>
    </xf>
    <xf numFmtId="0" fontId="3" fillId="0" borderId="31" xfId="0" applyFont="1" applyBorder="1" applyAlignment="1" applyProtection="1">
      <alignment horizontal="center" vertical="center"/>
      <protection hidden="1"/>
    </xf>
    <xf numFmtId="0" fontId="3" fillId="0" borderId="31" xfId="0" applyFont="1" applyBorder="1" applyAlignment="1" applyProtection="1">
      <alignment vertical="center" wrapText="1"/>
      <protection hidden="1"/>
    </xf>
    <xf numFmtId="0" fontId="3" fillId="0" borderId="33" xfId="0" applyFont="1" applyBorder="1" applyAlignment="1" applyProtection="1">
      <alignment horizontal="left" vertical="center"/>
      <protection hidden="1"/>
    </xf>
    <xf numFmtId="4" fontId="3" fillId="0" borderId="14" xfId="0" applyNumberFormat="1" applyFont="1" applyFill="1" applyBorder="1" applyAlignment="1" applyProtection="1">
      <alignment vertical="center" shrinkToFit="1"/>
      <protection hidden="1"/>
    </xf>
    <xf numFmtId="0" fontId="3" fillId="0" borderId="12" xfId="0" applyFont="1" applyBorder="1" applyAlignment="1" applyProtection="1">
      <alignment horizontal="left" vertical="center"/>
      <protection hidden="1"/>
    </xf>
    <xf numFmtId="0" fontId="3" fillId="0" borderId="13" xfId="0" applyFont="1" applyBorder="1" applyProtection="1">
      <alignment vertical="center"/>
      <protection hidden="1"/>
    </xf>
    <xf numFmtId="4" fontId="3" fillId="0" borderId="15" xfId="0" applyNumberFormat="1" applyFont="1" applyBorder="1" applyAlignment="1" applyProtection="1">
      <alignment vertical="center" shrinkToFit="1"/>
      <protection hidden="1"/>
    </xf>
    <xf numFmtId="40" fontId="3" fillId="0" borderId="6" xfId="1" applyNumberFormat="1" applyFont="1" applyBorder="1" applyAlignment="1" applyProtection="1">
      <alignment vertical="center" shrinkToFit="1"/>
      <protection hidden="1"/>
    </xf>
    <xf numFmtId="4" fontId="3" fillId="0" borderId="16" xfId="0" applyNumberFormat="1" applyFont="1" applyBorder="1" applyAlignment="1" applyProtection="1">
      <alignment vertical="center" shrinkToFit="1"/>
      <protection hidden="1"/>
    </xf>
    <xf numFmtId="4" fontId="3" fillId="0" borderId="9" xfId="0" applyNumberFormat="1" applyFont="1" applyBorder="1" applyAlignment="1" applyProtection="1">
      <alignment vertical="center" shrinkToFit="1"/>
      <protection hidden="1"/>
    </xf>
    <xf numFmtId="40" fontId="3" fillId="0" borderId="17" xfId="1" applyNumberFormat="1" applyFont="1" applyBorder="1" applyAlignment="1" applyProtection="1">
      <alignment vertical="center" shrinkToFit="1"/>
      <protection hidden="1"/>
    </xf>
    <xf numFmtId="4" fontId="3" fillId="0" borderId="14" xfId="1" applyNumberFormat="1" applyFont="1" applyBorder="1" applyAlignment="1" applyProtection="1">
      <alignment vertical="center" shrinkToFit="1"/>
      <protection hidden="1"/>
    </xf>
    <xf numFmtId="2" fontId="3" fillId="0" borderId="6" xfId="0" applyNumberFormat="1" applyFont="1" applyBorder="1" applyAlignment="1" applyProtection="1">
      <alignment vertical="center" shrinkToFit="1"/>
      <protection hidden="1"/>
    </xf>
    <xf numFmtId="40" fontId="3" fillId="0" borderId="9" xfId="0" applyNumberFormat="1" applyFont="1" applyBorder="1" applyAlignment="1" applyProtection="1">
      <alignment vertical="center" shrinkToFit="1"/>
      <protection hidden="1"/>
    </xf>
    <xf numFmtId="4" fontId="3" fillId="0" borderId="6" xfId="1" applyNumberFormat="1" applyFont="1" applyBorder="1" applyAlignment="1" applyProtection="1">
      <alignment vertical="center" shrinkToFit="1"/>
      <protection hidden="1"/>
    </xf>
    <xf numFmtId="4" fontId="3" fillId="0" borderId="14" xfId="0" applyNumberFormat="1" applyFont="1" applyBorder="1" applyAlignment="1" applyProtection="1">
      <alignment vertical="center" shrinkToFit="1"/>
      <protection hidden="1"/>
    </xf>
    <xf numFmtId="4" fontId="3" fillId="0" borderId="6" xfId="0" applyNumberFormat="1" applyFont="1" applyBorder="1" applyAlignment="1" applyProtection="1">
      <alignment vertical="center" shrinkToFit="1"/>
      <protection hidden="1"/>
    </xf>
    <xf numFmtId="4" fontId="3" fillId="14" borderId="16" xfId="0" applyNumberFormat="1" applyFont="1" applyFill="1" applyBorder="1" applyAlignment="1" applyProtection="1">
      <alignment vertical="center" shrinkToFit="1"/>
      <protection hidden="1"/>
    </xf>
    <xf numFmtId="40" fontId="3" fillId="14" borderId="17" xfId="1" applyNumberFormat="1" applyFont="1" applyFill="1" applyBorder="1" applyAlignment="1" applyProtection="1">
      <alignment vertical="center" shrinkToFit="1"/>
      <protection hidden="1"/>
    </xf>
    <xf numFmtId="0" fontId="3" fillId="0" borderId="0" xfId="0" applyFont="1" applyAlignment="1" applyProtection="1">
      <alignment horizontal="left" vertical="center" indent="1"/>
      <protection hidden="1"/>
    </xf>
    <xf numFmtId="0" fontId="3" fillId="8" borderId="67" xfId="0" applyFont="1" applyFill="1" applyBorder="1" applyAlignment="1" applyProtection="1">
      <alignment vertical="center" shrinkToFit="1"/>
      <protection hidden="1"/>
    </xf>
    <xf numFmtId="9" fontId="3" fillId="8" borderId="11" xfId="0" applyNumberFormat="1" applyFont="1" applyFill="1" applyBorder="1" applyAlignment="1" applyProtection="1">
      <alignment horizontal="right" vertical="center"/>
      <protection locked="0" hidden="1"/>
    </xf>
    <xf numFmtId="0" fontId="3" fillId="5" borderId="93" xfId="0" applyFont="1" applyFill="1" applyBorder="1" applyAlignment="1" applyProtection="1">
      <alignment horizontal="center" vertical="center" wrapText="1"/>
      <protection hidden="1"/>
    </xf>
    <xf numFmtId="3" fontId="3" fillId="11" borderId="18" xfId="0" applyNumberFormat="1" applyFont="1" applyFill="1" applyBorder="1" applyAlignment="1" applyProtection="1">
      <alignment horizontal="center" vertical="center" shrinkToFit="1"/>
      <protection locked="0"/>
    </xf>
    <xf numFmtId="3" fontId="3" fillId="11" borderId="94" xfId="0" applyNumberFormat="1" applyFont="1" applyFill="1" applyBorder="1" applyAlignment="1" applyProtection="1">
      <alignment horizontal="center" vertical="center" shrinkToFit="1"/>
      <protection locked="0"/>
    </xf>
    <xf numFmtId="189" fontId="3" fillId="16" borderId="23" xfId="0" applyNumberFormat="1" applyFont="1" applyFill="1" applyBorder="1" applyAlignment="1" applyProtection="1">
      <alignment horizontal="center" vertical="center" shrinkToFit="1"/>
      <protection locked="0"/>
    </xf>
    <xf numFmtId="195" fontId="3" fillId="16" borderId="24" xfId="0" applyNumberFormat="1" applyFont="1" applyFill="1" applyBorder="1" applyAlignment="1" applyProtection="1">
      <alignment horizontal="center" vertical="center" shrinkToFit="1"/>
      <protection locked="0"/>
    </xf>
    <xf numFmtId="0" fontId="44" fillId="0" borderId="0" xfId="0" applyFont="1" applyAlignment="1">
      <alignment vertical="top" wrapText="1"/>
    </xf>
    <xf numFmtId="0" fontId="45" fillId="0" borderId="0" xfId="0" applyFont="1" applyAlignment="1">
      <alignment vertical="top" wrapText="1"/>
    </xf>
    <xf numFmtId="0" fontId="48" fillId="0" borderId="0" xfId="0" applyFont="1" applyProtection="1">
      <alignment vertical="center"/>
      <protection hidden="1"/>
    </xf>
    <xf numFmtId="0" fontId="50" fillId="0" borderId="0" xfId="0" applyFont="1" applyAlignment="1" applyProtection="1">
      <alignment vertical="top"/>
      <protection hidden="1"/>
    </xf>
    <xf numFmtId="0" fontId="52" fillId="0" borderId="0" xfId="0" applyFont="1" applyProtection="1">
      <alignment vertical="center"/>
      <protection hidden="1"/>
    </xf>
    <xf numFmtId="0" fontId="0" fillId="0" borderId="0" xfId="0" applyBorder="1" applyProtection="1">
      <alignment vertical="center"/>
    </xf>
    <xf numFmtId="0" fontId="39" fillId="0" borderId="0" xfId="0" applyFont="1" applyProtection="1">
      <alignment vertical="center"/>
      <protection hidden="1"/>
    </xf>
    <xf numFmtId="4" fontId="3" fillId="17" borderId="15" xfId="0" applyNumberFormat="1" applyFont="1" applyFill="1" applyBorder="1" applyAlignment="1" applyProtection="1">
      <alignment vertical="center" shrinkToFit="1"/>
      <protection hidden="1"/>
    </xf>
    <xf numFmtId="0" fontId="55" fillId="10" borderId="0" xfId="0" applyFont="1" applyFill="1" applyBorder="1" applyAlignment="1" applyProtection="1">
      <alignment vertical="center" wrapText="1"/>
    </xf>
    <xf numFmtId="0" fontId="53" fillId="10" borderId="0" xfId="0" applyFont="1" applyFill="1" applyBorder="1" applyAlignment="1" applyProtection="1">
      <alignment vertical="center" wrapText="1"/>
    </xf>
    <xf numFmtId="0" fontId="56" fillId="10" borderId="0" xfId="0" applyFont="1" applyFill="1" applyBorder="1" applyAlignment="1" applyProtection="1">
      <alignment horizontal="center" vertical="center" wrapText="1"/>
      <protection hidden="1"/>
    </xf>
    <xf numFmtId="0" fontId="56" fillId="10" borderId="0" xfId="0" applyFont="1" applyFill="1" applyBorder="1" applyAlignment="1" applyProtection="1">
      <alignment horizontal="center" vertical="center"/>
      <protection hidden="1"/>
    </xf>
    <xf numFmtId="193" fontId="3" fillId="2" borderId="106" xfId="0" applyNumberFormat="1" applyFont="1" applyFill="1" applyBorder="1" applyAlignment="1" applyProtection="1">
      <alignment vertical="center"/>
      <protection hidden="1"/>
    </xf>
    <xf numFmtId="193" fontId="3" fillId="2" borderId="107" xfId="0" applyNumberFormat="1" applyFont="1" applyFill="1" applyBorder="1" applyAlignment="1" applyProtection="1">
      <alignment vertical="center"/>
      <protection hidden="1"/>
    </xf>
    <xf numFmtId="193" fontId="3" fillId="2" borderId="108" xfId="0" applyNumberFormat="1" applyFont="1" applyFill="1" applyBorder="1" applyAlignment="1" applyProtection="1">
      <alignment vertical="center"/>
      <protection hidden="1"/>
    </xf>
    <xf numFmtId="192" fontId="29" fillId="10" borderId="0" xfId="1" applyNumberFormat="1" applyFont="1" applyFill="1" applyBorder="1" applyProtection="1">
      <alignment vertical="center"/>
      <protection hidden="1"/>
    </xf>
    <xf numFmtId="0" fontId="3" fillId="5" borderId="104" xfId="0" applyFont="1" applyFill="1" applyBorder="1" applyAlignment="1" applyProtection="1">
      <alignment horizontal="center" vertical="center"/>
      <protection hidden="1"/>
    </xf>
    <xf numFmtId="0" fontId="3" fillId="5" borderId="34" xfId="0" applyFont="1" applyFill="1" applyBorder="1" applyAlignment="1" applyProtection="1">
      <alignment horizontal="center" vertical="center"/>
      <protection hidden="1"/>
    </xf>
    <xf numFmtId="0" fontId="3" fillId="5" borderId="109" xfId="0" applyFont="1" applyFill="1" applyBorder="1" applyAlignment="1" applyProtection="1">
      <alignment horizontal="center" vertical="center"/>
      <protection hidden="1"/>
    </xf>
    <xf numFmtId="0" fontId="58" fillId="10" borderId="0" xfId="0" applyFont="1" applyFill="1" applyBorder="1" applyProtection="1">
      <alignment vertical="center"/>
      <protection hidden="1"/>
    </xf>
    <xf numFmtId="0" fontId="31" fillId="7" borderId="93" xfId="0" applyNumberFormat="1" applyFont="1" applyFill="1" applyBorder="1" applyAlignment="1" applyProtection="1">
      <alignment horizontal="center" vertical="center" wrapText="1"/>
      <protection hidden="1"/>
    </xf>
    <xf numFmtId="0" fontId="3" fillId="7" borderId="18" xfId="0" applyFont="1" applyFill="1" applyBorder="1" applyAlignment="1" applyProtection="1">
      <alignment horizontal="center" vertical="center"/>
    </xf>
    <xf numFmtId="0" fontId="3" fillId="7" borderId="94" xfId="0" applyFont="1" applyFill="1" applyBorder="1" applyAlignment="1" applyProtection="1">
      <alignment horizontal="center" vertical="center"/>
    </xf>
    <xf numFmtId="188" fontId="58" fillId="7" borderId="6" xfId="0" applyNumberFormat="1" applyFont="1" applyFill="1" applyBorder="1" applyAlignment="1" applyProtection="1">
      <alignment horizontal="right" vertical="center"/>
      <protection hidden="1"/>
    </xf>
    <xf numFmtId="14" fontId="57" fillId="7" borderId="6" xfId="0" applyNumberFormat="1" applyFont="1" applyFill="1" applyBorder="1" applyAlignment="1" applyProtection="1">
      <alignment horizontal="center" vertical="top" wrapText="1"/>
      <protection hidden="1"/>
    </xf>
    <xf numFmtId="0" fontId="57" fillId="7" borderId="6" xfId="0" applyFont="1" applyFill="1" applyBorder="1" applyAlignment="1" applyProtection="1">
      <alignment horizontal="center" vertical="top" wrapText="1"/>
      <protection hidden="1"/>
    </xf>
    <xf numFmtId="0" fontId="57" fillId="7" borderId="14" xfId="0" applyFont="1" applyFill="1" applyBorder="1" applyAlignment="1" applyProtection="1">
      <alignment vertical="center" wrapText="1"/>
      <protection hidden="1"/>
    </xf>
    <xf numFmtId="0" fontId="58" fillId="7" borderId="14" xfId="0" applyFont="1" applyFill="1" applyBorder="1" applyAlignment="1" applyProtection="1">
      <alignment horizontal="center" vertical="center" wrapText="1"/>
      <protection hidden="1"/>
    </xf>
    <xf numFmtId="0" fontId="58" fillId="7" borderId="15" xfId="0" applyFont="1" applyFill="1" applyBorder="1" applyAlignment="1" applyProtection="1">
      <alignment horizontal="center" vertical="center" wrapText="1"/>
      <protection hidden="1"/>
    </xf>
    <xf numFmtId="14" fontId="57" fillId="7" borderId="16" xfId="0" applyNumberFormat="1" applyFont="1" applyFill="1" applyBorder="1" applyAlignment="1" applyProtection="1">
      <alignment horizontal="center" vertical="top" wrapText="1"/>
      <protection hidden="1"/>
    </xf>
    <xf numFmtId="0" fontId="57" fillId="7" borderId="16" xfId="0" applyFont="1" applyFill="1" applyBorder="1" applyAlignment="1" applyProtection="1">
      <alignment horizontal="center" vertical="top" wrapText="1"/>
      <protection hidden="1"/>
    </xf>
    <xf numFmtId="188" fontId="58" fillId="7" borderId="9" xfId="0" applyNumberFormat="1" applyFont="1" applyFill="1" applyBorder="1" applyAlignment="1" applyProtection="1">
      <alignment horizontal="right" vertical="center"/>
      <protection hidden="1"/>
    </xf>
    <xf numFmtId="0" fontId="57" fillId="7" borderId="9" xfId="0" applyFont="1" applyFill="1" applyBorder="1" applyAlignment="1" applyProtection="1">
      <alignment horizontal="center" vertical="top" wrapText="1"/>
      <protection hidden="1"/>
    </xf>
    <xf numFmtId="0" fontId="57" fillId="7" borderId="17" xfId="0" applyFont="1" applyFill="1" applyBorder="1" applyAlignment="1" applyProtection="1">
      <alignment horizontal="center" vertical="top" wrapText="1"/>
      <protection hidden="1"/>
    </xf>
    <xf numFmtId="0" fontId="29" fillId="10" borderId="0" xfId="0" applyFont="1" applyFill="1" applyBorder="1" applyProtection="1">
      <alignment vertical="center"/>
      <protection hidden="1"/>
    </xf>
    <xf numFmtId="0" fontId="29" fillId="10" borderId="0" xfId="0" applyNumberFormat="1" applyFont="1" applyFill="1" applyBorder="1" applyProtection="1">
      <alignment vertical="center"/>
      <protection hidden="1"/>
    </xf>
    <xf numFmtId="0" fontId="3" fillId="15" borderId="110" xfId="0" applyFont="1" applyFill="1" applyBorder="1" applyAlignment="1" applyProtection="1">
      <alignment horizontal="center" vertical="center" wrapText="1"/>
      <protection hidden="1"/>
    </xf>
    <xf numFmtId="0" fontId="3" fillId="15" borderId="111" xfId="0" applyFont="1" applyFill="1" applyBorder="1" applyAlignment="1" applyProtection="1">
      <alignment horizontal="center" vertical="center" wrapText="1"/>
      <protection hidden="1"/>
    </xf>
    <xf numFmtId="0" fontId="57" fillId="7" borderId="15" xfId="0" applyFont="1" applyFill="1" applyBorder="1" applyAlignment="1" applyProtection="1">
      <alignment vertical="center" wrapText="1"/>
      <protection hidden="1"/>
    </xf>
    <xf numFmtId="188" fontId="58" fillId="7" borderId="16" xfId="0" applyNumberFormat="1" applyFont="1" applyFill="1" applyBorder="1" applyAlignment="1" applyProtection="1">
      <alignment horizontal="right" vertical="center"/>
      <protection hidden="1"/>
    </xf>
    <xf numFmtId="189" fontId="3" fillId="16" borderId="112" xfId="0" applyNumberFormat="1" applyFont="1" applyFill="1" applyBorder="1" applyAlignment="1" applyProtection="1">
      <alignment horizontal="center" vertical="center" shrinkToFit="1"/>
      <protection locked="0"/>
    </xf>
    <xf numFmtId="195" fontId="3" fillId="16" borderId="113" xfId="0" applyNumberFormat="1" applyFont="1" applyFill="1" applyBorder="1" applyAlignment="1" applyProtection="1">
      <alignment horizontal="center" vertical="center" shrinkToFit="1"/>
      <protection locked="0"/>
    </xf>
    <xf numFmtId="188" fontId="58" fillId="7" borderId="17" xfId="0" applyNumberFormat="1" applyFont="1" applyFill="1" applyBorder="1" applyAlignment="1" applyProtection="1">
      <alignment horizontal="right" vertical="center"/>
      <protection hidden="1"/>
    </xf>
    <xf numFmtId="0" fontId="58" fillId="7" borderId="33" xfId="0" applyFont="1" applyFill="1" applyBorder="1" applyAlignment="1" applyProtection="1">
      <alignment horizontal="center" vertical="center" wrapText="1"/>
      <protection hidden="1"/>
    </xf>
    <xf numFmtId="14" fontId="57" fillId="7" borderId="12" xfId="0" applyNumberFormat="1" applyFont="1" applyFill="1" applyBorder="1" applyAlignment="1" applyProtection="1">
      <alignment horizontal="center" vertical="top" wrapText="1"/>
      <protection hidden="1"/>
    </xf>
    <xf numFmtId="0" fontId="57" fillId="7" borderId="12" xfId="0" applyFont="1" applyFill="1" applyBorder="1" applyAlignment="1" applyProtection="1">
      <alignment horizontal="center" vertical="top" wrapText="1"/>
      <protection hidden="1"/>
    </xf>
    <xf numFmtId="0" fontId="57" fillId="7" borderId="13" xfId="0" applyFont="1" applyFill="1" applyBorder="1" applyAlignment="1" applyProtection="1">
      <alignment horizontal="center" vertical="top" wrapText="1"/>
      <protection hidden="1"/>
    </xf>
    <xf numFmtId="38" fontId="30" fillId="10" borderId="0" xfId="1" applyFont="1" applyFill="1" applyBorder="1" applyAlignment="1" applyProtection="1">
      <alignment horizontal="center" vertical="center"/>
      <protection hidden="1"/>
    </xf>
    <xf numFmtId="0" fontId="29" fillId="10" borderId="0" xfId="0" applyFont="1" applyFill="1" applyBorder="1" applyAlignment="1" applyProtection="1">
      <alignment vertical="center"/>
      <protection hidden="1"/>
    </xf>
    <xf numFmtId="38" fontId="30" fillId="10" borderId="0" xfId="1" quotePrefix="1" applyFont="1" applyFill="1" applyBorder="1" applyAlignment="1" applyProtection="1">
      <alignment horizontal="center" vertical="center"/>
      <protection hidden="1"/>
    </xf>
    <xf numFmtId="0" fontId="34" fillId="0" borderId="0" xfId="0" applyFont="1" applyFill="1" applyAlignment="1" applyProtection="1">
      <alignment horizontal="left" vertical="top" wrapText="1"/>
      <protection hidden="1"/>
    </xf>
    <xf numFmtId="0" fontId="34" fillId="0" borderId="0" xfId="0" applyFont="1" applyFill="1" applyAlignment="1">
      <alignment horizontal="left" vertical="top" wrapText="1"/>
    </xf>
    <xf numFmtId="0" fontId="0" fillId="0" borderId="0" xfId="0" applyAlignment="1">
      <alignment horizontal="left" vertical="center" wrapText="1"/>
    </xf>
    <xf numFmtId="0" fontId="0" fillId="0" borderId="0" xfId="0" applyAlignment="1">
      <alignment vertical="center"/>
    </xf>
    <xf numFmtId="179" fontId="14" fillId="0" borderId="0" xfId="0" applyNumberFormat="1" applyFont="1" applyAlignment="1" applyProtection="1">
      <alignment horizontal="left" vertical="center" wrapText="1" indent="3"/>
      <protection hidden="1"/>
    </xf>
    <xf numFmtId="0" fontId="0" fillId="0" borderId="0" xfId="0" applyAlignment="1">
      <alignment horizontal="left" vertical="center" wrapText="1" indent="3"/>
    </xf>
    <xf numFmtId="194" fontId="31" fillId="0" borderId="0" xfId="0" applyNumberFormat="1" applyFont="1" applyBorder="1" applyAlignment="1" applyProtection="1">
      <alignment horizontal="left" shrinkToFit="1"/>
      <protection hidden="1"/>
    </xf>
    <xf numFmtId="194" fontId="37" fillId="0" borderId="0" xfId="0" applyNumberFormat="1" applyFont="1" applyAlignment="1">
      <alignment horizontal="left" shrinkToFit="1"/>
    </xf>
    <xf numFmtId="0" fontId="23" fillId="8" borderId="0" xfId="0" applyFont="1" applyFill="1" applyAlignment="1" applyProtection="1">
      <alignment horizontal="left" vertical="center" wrapText="1" indent="3"/>
      <protection hidden="1"/>
    </xf>
    <xf numFmtId="0" fontId="24" fillId="8" borderId="0" xfId="0" applyFont="1" applyFill="1" applyAlignment="1">
      <alignment horizontal="left" vertical="center" wrapText="1" indent="3"/>
    </xf>
    <xf numFmtId="0" fontId="29" fillId="10" borderId="0" xfId="0" applyFont="1" applyFill="1" applyBorder="1" applyAlignment="1" applyProtection="1">
      <alignment horizontal="center" vertical="center" wrapText="1"/>
      <protection locked="0"/>
    </xf>
    <xf numFmtId="0" fontId="53" fillId="10" borderId="0" xfId="0" applyFont="1" applyFill="1" applyBorder="1" applyAlignment="1" applyProtection="1">
      <alignment vertical="center" wrapText="1"/>
      <protection locked="0"/>
    </xf>
    <xf numFmtId="0" fontId="29" fillId="10" borderId="0" xfId="0" applyFont="1" applyFill="1" applyBorder="1" applyAlignment="1" applyProtection="1">
      <alignment horizontal="center" vertical="center"/>
      <protection hidden="1"/>
    </xf>
    <xf numFmtId="0" fontId="53" fillId="10" borderId="0" xfId="0" applyFont="1" applyFill="1" applyBorder="1" applyAlignment="1">
      <alignment horizontal="center" vertical="center"/>
    </xf>
    <xf numFmtId="0" fontId="29" fillId="10" borderId="0" xfId="0" applyFont="1" applyFill="1" applyBorder="1" applyAlignment="1" applyProtection="1">
      <alignment horizontal="center" vertical="center"/>
      <protection locked="0"/>
    </xf>
    <xf numFmtId="0" fontId="53" fillId="10" borderId="0" xfId="0" applyFont="1" applyFill="1" applyBorder="1" applyAlignment="1" applyProtection="1">
      <alignment horizontal="center" vertical="center"/>
      <protection locked="0"/>
    </xf>
    <xf numFmtId="0" fontId="54" fillId="10" borderId="0" xfId="0" applyFont="1" applyFill="1" applyBorder="1" applyAlignment="1" applyProtection="1">
      <alignment vertical="center" wrapText="1"/>
      <protection hidden="1"/>
    </xf>
    <xf numFmtId="0" fontId="53" fillId="10" borderId="0" xfId="0" applyFont="1" applyFill="1" applyBorder="1" applyProtection="1">
      <alignment vertical="center"/>
      <protection locked="0"/>
    </xf>
    <xf numFmtId="38" fontId="7" fillId="3" borderId="39" xfId="1" applyFont="1" applyFill="1" applyBorder="1" applyAlignment="1" applyProtection="1">
      <alignment horizontal="center" vertical="center"/>
      <protection hidden="1"/>
    </xf>
    <xf numFmtId="0" fontId="3" fillId="0" borderId="40" xfId="0" applyFont="1" applyBorder="1" applyAlignment="1" applyProtection="1">
      <alignment vertical="center"/>
      <protection hidden="1"/>
    </xf>
    <xf numFmtId="38" fontId="9" fillId="3" borderId="37" xfId="1" applyFont="1" applyFill="1" applyBorder="1" applyAlignment="1" applyProtection="1">
      <alignment horizontal="center" vertical="center"/>
      <protection hidden="1"/>
    </xf>
    <xf numFmtId="0" fontId="10" fillId="0" borderId="38" xfId="0" applyFont="1" applyBorder="1" applyAlignment="1" applyProtection="1">
      <alignment vertical="center"/>
      <protection hidden="1"/>
    </xf>
    <xf numFmtId="38" fontId="9" fillId="3" borderId="41" xfId="1" applyFont="1" applyFill="1" applyBorder="1" applyAlignment="1" applyProtection="1">
      <alignment horizontal="center" vertical="center"/>
      <protection hidden="1"/>
    </xf>
    <xf numFmtId="0" fontId="10" fillId="0" borderId="42" xfId="0" applyFont="1" applyBorder="1" applyAlignment="1" applyProtection="1">
      <alignment vertical="center"/>
      <protection hidden="1"/>
    </xf>
    <xf numFmtId="0" fontId="55" fillId="10" borderId="0" xfId="0" applyFont="1" applyFill="1" applyBorder="1" applyAlignment="1">
      <alignment vertical="center" wrapText="1"/>
    </xf>
    <xf numFmtId="38" fontId="3" fillId="13" borderId="68" xfId="1" applyFont="1" applyFill="1" applyBorder="1" applyAlignment="1" applyProtection="1">
      <alignment vertical="center"/>
      <protection hidden="1"/>
    </xf>
    <xf numFmtId="38" fontId="3" fillId="13" borderId="65" xfId="1" applyFont="1" applyFill="1" applyBorder="1" applyAlignment="1" applyProtection="1">
      <alignment vertical="center"/>
      <protection hidden="1"/>
    </xf>
    <xf numFmtId="38" fontId="3" fillId="13" borderId="66" xfId="1" applyFont="1" applyFill="1" applyBorder="1" applyAlignment="1" applyProtection="1">
      <alignment vertical="center"/>
      <protection hidden="1"/>
    </xf>
    <xf numFmtId="38" fontId="3" fillId="13" borderId="40" xfId="1" applyFont="1" applyFill="1" applyBorder="1" applyAlignment="1" applyProtection="1">
      <alignment vertical="center"/>
      <protection hidden="1"/>
    </xf>
    <xf numFmtId="38" fontId="3" fillId="13" borderId="69" xfId="1" applyFont="1" applyFill="1" applyBorder="1" applyAlignment="1" applyProtection="1">
      <alignment vertical="center"/>
      <protection hidden="1"/>
    </xf>
    <xf numFmtId="0" fontId="40" fillId="0" borderId="87" xfId="0" applyFont="1" applyBorder="1" applyAlignment="1" applyProtection="1">
      <alignment horizontal="center" vertical="center"/>
      <protection hidden="1"/>
    </xf>
    <xf numFmtId="0" fontId="41" fillId="0" borderId="87" xfId="0" applyFont="1" applyBorder="1" applyAlignment="1">
      <alignment horizontal="center" vertical="center"/>
    </xf>
    <xf numFmtId="182" fontId="3" fillId="6" borderId="96" xfId="0" applyNumberFormat="1" applyFont="1" applyFill="1" applyBorder="1" applyAlignment="1" applyProtection="1">
      <alignment vertical="center" shrinkToFit="1"/>
      <protection hidden="1"/>
    </xf>
    <xf numFmtId="182" fontId="0" fillId="0" borderId="97" xfId="0" applyNumberFormat="1" applyBorder="1" applyAlignment="1">
      <alignment vertical="center"/>
    </xf>
    <xf numFmtId="182" fontId="0" fillId="0" borderId="98" xfId="0" applyNumberFormat="1" applyBorder="1" applyAlignment="1">
      <alignment vertical="center"/>
    </xf>
    <xf numFmtId="182" fontId="3" fillId="6" borderId="99" xfId="0" applyNumberFormat="1" applyFont="1" applyFill="1" applyBorder="1" applyAlignment="1" applyProtection="1">
      <alignment vertical="center" shrinkToFit="1"/>
      <protection hidden="1"/>
    </xf>
    <xf numFmtId="182" fontId="0" fillId="0" borderId="34" xfId="0" applyNumberFormat="1" applyBorder="1" applyAlignment="1">
      <alignment vertical="center"/>
    </xf>
    <xf numFmtId="182" fontId="0" fillId="0" borderId="64" xfId="0" applyNumberFormat="1" applyBorder="1" applyAlignment="1">
      <alignment vertical="center"/>
    </xf>
    <xf numFmtId="182" fontId="17" fillId="6" borderId="100" xfId="0" applyNumberFormat="1" applyFont="1" applyFill="1" applyBorder="1" applyAlignment="1" applyProtection="1">
      <alignment vertical="center" shrinkToFit="1"/>
      <protection hidden="1"/>
    </xf>
    <xf numFmtId="182" fontId="0" fillId="0" borderId="101" xfId="0" applyNumberFormat="1" applyBorder="1" applyAlignment="1">
      <alignment vertical="center"/>
    </xf>
    <xf numFmtId="182" fontId="0" fillId="0" borderId="102" xfId="0" applyNumberFormat="1" applyBorder="1" applyAlignment="1">
      <alignment vertical="center"/>
    </xf>
    <xf numFmtId="182" fontId="3" fillId="6" borderId="103" xfId="0" applyNumberFormat="1" applyFont="1" applyFill="1" applyBorder="1" applyAlignment="1" applyProtection="1">
      <alignment vertical="center" shrinkToFit="1"/>
      <protection hidden="1"/>
    </xf>
    <xf numFmtId="182" fontId="0" fillId="0" borderId="104" xfId="0" applyNumberFormat="1" applyBorder="1" applyAlignment="1">
      <alignment vertical="center"/>
    </xf>
    <xf numFmtId="182" fontId="0" fillId="0" borderId="105" xfId="0" applyNumberFormat="1" applyBorder="1" applyAlignment="1">
      <alignment vertical="center"/>
    </xf>
    <xf numFmtId="182" fontId="17" fillId="6" borderId="39" xfId="0" applyNumberFormat="1" applyFont="1" applyFill="1" applyBorder="1" applyAlignment="1" applyProtection="1">
      <alignment vertical="center" shrinkToFit="1"/>
      <protection hidden="1"/>
    </xf>
    <xf numFmtId="182" fontId="0" fillId="0" borderId="66" xfId="0" applyNumberFormat="1" applyBorder="1" applyAlignment="1">
      <alignment vertical="center"/>
    </xf>
    <xf numFmtId="182" fontId="0" fillId="0" borderId="69" xfId="0" applyNumberFormat="1" applyBorder="1" applyAlignment="1">
      <alignment vertical="center"/>
    </xf>
    <xf numFmtId="0" fontId="3" fillId="2" borderId="45" xfId="0" applyFont="1" applyFill="1" applyBorder="1" applyAlignment="1" applyProtection="1">
      <alignment vertical="center"/>
      <protection hidden="1"/>
    </xf>
    <xf numFmtId="0" fontId="0" fillId="0" borderId="29" xfId="0" applyBorder="1" applyAlignment="1" applyProtection="1">
      <alignment vertical="center"/>
      <protection hidden="1"/>
    </xf>
    <xf numFmtId="0" fontId="0" fillId="0" borderId="30" xfId="0" applyBorder="1" applyAlignment="1" applyProtection="1">
      <alignment vertical="center"/>
      <protection hidden="1"/>
    </xf>
    <xf numFmtId="182" fontId="17" fillId="2" borderId="6" xfId="0" applyNumberFormat="1" applyFont="1" applyFill="1" applyBorder="1" applyAlignment="1" applyProtection="1">
      <alignment vertical="center"/>
      <protection hidden="1"/>
    </xf>
    <xf numFmtId="182" fontId="19" fillId="0" borderId="24" xfId="0" applyNumberFormat="1" applyFont="1" applyBorder="1" applyAlignment="1" applyProtection="1">
      <alignment vertical="center"/>
      <protection hidden="1"/>
    </xf>
    <xf numFmtId="0" fontId="3" fillId="12" borderId="78" xfId="0" applyFont="1" applyFill="1" applyBorder="1" applyAlignment="1" applyProtection="1">
      <alignment horizontal="center" vertical="center" wrapText="1"/>
      <protection hidden="1"/>
    </xf>
    <xf numFmtId="0" fontId="0" fillId="12" borderId="80" xfId="0" applyFill="1" applyBorder="1" applyAlignment="1">
      <alignment horizontal="center" vertical="center"/>
    </xf>
    <xf numFmtId="3" fontId="3" fillId="12" borderId="82" xfId="0" applyNumberFormat="1" applyFont="1" applyFill="1" applyBorder="1" applyAlignment="1" applyProtection="1">
      <alignment horizontal="center" vertical="center" shrinkToFit="1"/>
      <protection hidden="1"/>
    </xf>
    <xf numFmtId="0" fontId="0" fillId="12" borderId="82" xfId="0" applyFill="1" applyBorder="1" applyAlignment="1">
      <alignment horizontal="center" vertical="center" shrinkToFit="1"/>
    </xf>
    <xf numFmtId="0" fontId="0" fillId="12" borderId="85" xfId="0" applyFill="1" applyBorder="1" applyAlignment="1">
      <alignment horizontal="center" vertical="center" shrinkToFit="1"/>
    </xf>
    <xf numFmtId="3" fontId="3" fillId="6" borderId="6" xfId="0" applyNumberFormat="1" applyFont="1" applyFill="1" applyBorder="1" applyAlignment="1" applyProtection="1">
      <alignment vertical="center" shrinkToFit="1"/>
      <protection hidden="1"/>
    </xf>
    <xf numFmtId="0" fontId="0" fillId="0" borderId="6" xfId="0" applyBorder="1" applyAlignment="1">
      <alignment vertical="center" shrinkToFit="1"/>
    </xf>
    <xf numFmtId="0" fontId="0" fillId="0" borderId="27" xfId="0" applyBorder="1" applyAlignment="1">
      <alignment vertical="center" shrinkToFit="1"/>
    </xf>
    <xf numFmtId="3" fontId="3" fillId="6" borderId="23" xfId="0" applyNumberFormat="1" applyFont="1" applyFill="1" applyBorder="1" applyAlignment="1" applyProtection="1">
      <alignment vertical="center" shrinkToFit="1"/>
      <protection hidden="1"/>
    </xf>
    <xf numFmtId="0" fontId="0" fillId="0" borderId="23" xfId="0" applyBorder="1" applyAlignment="1">
      <alignment vertical="center" shrinkToFit="1"/>
    </xf>
    <xf numFmtId="3" fontId="3" fillId="6" borderId="24" xfId="0" applyNumberFormat="1" applyFont="1" applyFill="1" applyBorder="1" applyAlignment="1" applyProtection="1">
      <alignment vertical="center" shrinkToFit="1"/>
      <protection hidden="1"/>
    </xf>
    <xf numFmtId="0" fontId="0" fillId="0" borderId="24" xfId="0" applyBorder="1" applyAlignment="1">
      <alignment vertical="center" shrinkToFit="1"/>
    </xf>
    <xf numFmtId="0" fontId="0" fillId="0" borderId="26" xfId="0" applyBorder="1" applyAlignment="1">
      <alignment vertical="center" shrinkToFit="1"/>
    </xf>
    <xf numFmtId="0" fontId="3" fillId="2" borderId="39" xfId="0" applyFont="1" applyFill="1" applyBorder="1" applyAlignment="1" applyProtection="1">
      <alignment horizontal="center" vertical="center"/>
      <protection hidden="1"/>
    </xf>
    <xf numFmtId="0" fontId="0" fillId="0" borderId="69" xfId="0" applyBorder="1" applyAlignment="1">
      <alignment horizontal="center" vertical="center"/>
    </xf>
    <xf numFmtId="38" fontId="3" fillId="2" borderId="68" xfId="1" applyFont="1" applyFill="1" applyBorder="1" applyAlignment="1" applyProtection="1">
      <alignment vertical="center" shrinkToFit="1"/>
      <protection hidden="1"/>
    </xf>
    <xf numFmtId="0" fontId="0" fillId="0" borderId="68" xfId="0" applyBorder="1" applyAlignment="1">
      <alignment vertical="center" shrinkToFit="1"/>
    </xf>
    <xf numFmtId="0" fontId="0" fillId="0" borderId="11" xfId="0" applyBorder="1" applyAlignment="1">
      <alignment vertical="center" shrinkToFit="1"/>
    </xf>
    <xf numFmtId="0" fontId="3" fillId="0" borderId="0" xfId="0" applyFont="1" applyAlignment="1" applyProtection="1">
      <alignment vertical="center" wrapText="1"/>
      <protection hidden="1"/>
    </xf>
    <xf numFmtId="0" fontId="0" fillId="0" borderId="0" xfId="0" applyAlignment="1">
      <alignment vertical="center" wrapText="1"/>
    </xf>
    <xf numFmtId="3" fontId="3" fillId="6" borderId="19" xfId="0" applyNumberFormat="1" applyFont="1" applyFill="1" applyBorder="1" applyAlignment="1" applyProtection="1">
      <alignment vertical="center" shrinkToFit="1"/>
      <protection hidden="1"/>
    </xf>
    <xf numFmtId="0" fontId="0" fillId="0" borderId="50" xfId="0" applyBorder="1" applyAlignment="1">
      <alignment vertical="center" shrinkToFit="1"/>
    </xf>
    <xf numFmtId="0" fontId="0" fillId="0" borderId="28" xfId="0" applyBorder="1" applyAlignment="1">
      <alignment vertical="center" shrinkToFit="1"/>
    </xf>
    <xf numFmtId="0" fontId="0" fillId="0" borderId="19" xfId="0" applyBorder="1" applyAlignment="1">
      <alignment vertical="center" shrinkToFit="1"/>
    </xf>
    <xf numFmtId="0" fontId="3" fillId="0" borderId="45" xfId="0" applyFont="1" applyBorder="1" applyAlignment="1" applyProtection="1">
      <alignment vertical="center"/>
      <protection hidden="1"/>
    </xf>
    <xf numFmtId="0" fontId="0" fillId="0" borderId="29" xfId="0" applyBorder="1" applyAlignment="1">
      <alignment vertical="center"/>
    </xf>
    <xf numFmtId="0" fontId="0" fillId="0" borderId="30" xfId="0" applyBorder="1" applyAlignment="1">
      <alignment vertical="center"/>
    </xf>
    <xf numFmtId="3" fontId="3" fillId="6" borderId="35" xfId="0" applyNumberFormat="1" applyFont="1" applyFill="1" applyBorder="1" applyAlignment="1" applyProtection="1">
      <alignment vertical="center" shrinkToFit="1"/>
      <protection hidden="1"/>
    </xf>
    <xf numFmtId="0" fontId="0" fillId="0" borderId="44" xfId="0" applyBorder="1" applyAlignment="1">
      <alignment vertical="center" shrinkToFit="1"/>
    </xf>
    <xf numFmtId="0" fontId="0" fillId="0" borderId="35" xfId="0" applyBorder="1" applyAlignment="1">
      <alignment vertical="center" shrinkToFit="1"/>
    </xf>
    <xf numFmtId="3" fontId="3" fillId="0" borderId="23" xfId="0" applyNumberFormat="1" applyFont="1" applyBorder="1" applyAlignment="1" applyProtection="1">
      <alignment vertical="center" shrinkToFit="1"/>
      <protection hidden="1"/>
    </xf>
    <xf numFmtId="3" fontId="3" fillId="0" borderId="6" xfId="0" applyNumberFormat="1" applyFont="1" applyBorder="1" applyAlignment="1" applyProtection="1">
      <alignment vertical="center" shrinkToFit="1"/>
      <protection hidden="1"/>
    </xf>
    <xf numFmtId="3" fontId="3" fillId="0" borderId="18" xfId="0" applyNumberFormat="1" applyFont="1" applyBorder="1" applyAlignment="1" applyProtection="1">
      <alignment vertical="center" shrinkToFit="1"/>
      <protection hidden="1"/>
    </xf>
    <xf numFmtId="0" fontId="0" fillId="0" borderId="18" xfId="0" applyBorder="1" applyAlignment="1">
      <alignment vertical="center" shrinkToFit="1"/>
    </xf>
    <xf numFmtId="3" fontId="3" fillId="12" borderId="81" xfId="0" applyNumberFormat="1" applyFont="1" applyFill="1" applyBorder="1" applyAlignment="1" applyProtection="1">
      <alignment vertical="center" shrinkToFit="1"/>
      <protection hidden="1"/>
    </xf>
    <xf numFmtId="0" fontId="0" fillId="12" borderId="81" xfId="0" applyFill="1" applyBorder="1" applyAlignment="1">
      <alignment vertical="center" shrinkToFit="1"/>
    </xf>
    <xf numFmtId="3" fontId="3" fillId="12" borderId="6" xfId="0" applyNumberFormat="1" applyFont="1" applyFill="1" applyBorder="1" applyAlignment="1" applyProtection="1">
      <alignment horizontal="center" vertical="center" shrinkToFit="1"/>
      <protection hidden="1"/>
    </xf>
    <xf numFmtId="0" fontId="0" fillId="12" borderId="6" xfId="0" applyFill="1" applyBorder="1" applyAlignment="1">
      <alignment horizontal="center" vertical="center" shrinkToFit="1"/>
    </xf>
    <xf numFmtId="0" fontId="0" fillId="0" borderId="48" xfId="0" applyBorder="1" applyAlignment="1">
      <alignment vertical="center" shrinkToFit="1"/>
    </xf>
    <xf numFmtId="0" fontId="0" fillId="12" borderId="83" xfId="0" applyFill="1" applyBorder="1" applyAlignment="1">
      <alignment vertical="center" shrinkToFit="1"/>
    </xf>
    <xf numFmtId="0" fontId="0" fillId="12" borderId="84" xfId="0" applyFill="1" applyBorder="1" applyAlignment="1">
      <alignment horizontal="center" vertical="center" shrinkToFit="1"/>
    </xf>
    <xf numFmtId="3" fontId="3" fillId="0" borderId="20" xfId="0" applyNumberFormat="1" applyFont="1" applyBorder="1" applyAlignment="1" applyProtection="1">
      <alignment vertical="center" shrinkToFit="1"/>
      <protection hidden="1"/>
    </xf>
    <xf numFmtId="0" fontId="0" fillId="0" borderId="20" xfId="0" applyBorder="1" applyAlignment="1">
      <alignment vertical="center" shrinkToFit="1"/>
    </xf>
    <xf numFmtId="3" fontId="3" fillId="12" borderId="24" xfId="0" applyNumberFormat="1" applyFont="1" applyFill="1" applyBorder="1" applyAlignment="1" applyProtection="1">
      <alignment vertical="center" shrinkToFit="1"/>
      <protection hidden="1"/>
    </xf>
    <xf numFmtId="0" fontId="0" fillId="12" borderId="24" xfId="0" applyFill="1" applyBorder="1" applyAlignment="1">
      <alignment vertical="center" shrinkToFit="1"/>
    </xf>
    <xf numFmtId="3" fontId="3" fillId="12" borderId="6" xfId="0" applyNumberFormat="1" applyFont="1" applyFill="1" applyBorder="1" applyAlignment="1" applyProtection="1">
      <alignment vertical="center" shrinkToFit="1"/>
      <protection hidden="1"/>
    </xf>
    <xf numFmtId="0" fontId="0" fillId="12" borderId="27" xfId="0" applyFill="1" applyBorder="1" applyAlignment="1">
      <alignment vertical="center" shrinkToFit="1"/>
    </xf>
    <xf numFmtId="0" fontId="0" fillId="12" borderId="28" xfId="0" applyFill="1" applyBorder="1" applyAlignment="1">
      <alignment vertical="center" shrinkToFit="1"/>
    </xf>
    <xf numFmtId="0" fontId="0" fillId="12" borderId="6" xfId="0" applyFill="1" applyBorder="1" applyAlignment="1">
      <alignment vertical="center" shrinkToFit="1"/>
    </xf>
    <xf numFmtId="0" fontId="3" fillId="0" borderId="20" xfId="0" quotePrefix="1" applyFont="1" applyBorder="1" applyAlignment="1" applyProtection="1">
      <alignment horizontal="center" vertical="center" shrinkToFit="1"/>
      <protection hidden="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3" fillId="0" borderId="20" xfId="0" quotePrefix="1" applyFont="1" applyBorder="1" applyAlignment="1" applyProtection="1">
      <alignment horizontal="center" vertical="center"/>
      <protection hidden="1"/>
    </xf>
    <xf numFmtId="0" fontId="0" fillId="0" borderId="20" xfId="0" applyBorder="1" applyAlignment="1">
      <alignment horizontal="center" vertical="center"/>
    </xf>
    <xf numFmtId="3" fontId="3" fillId="0" borderId="23" xfId="0" applyNumberFormat="1" applyFont="1" applyBorder="1" applyAlignment="1" applyProtection="1">
      <alignment horizontal="center" vertical="center" shrinkToFit="1"/>
      <protection hidden="1"/>
    </xf>
    <xf numFmtId="0" fontId="0" fillId="0" borderId="23" xfId="0" applyBorder="1" applyAlignment="1">
      <alignment horizontal="center" vertical="center" shrinkToFit="1"/>
    </xf>
    <xf numFmtId="0" fontId="0" fillId="0" borderId="26" xfId="0" applyBorder="1" applyAlignment="1">
      <alignment horizontal="center" vertical="center" shrinkToFit="1"/>
    </xf>
    <xf numFmtId="0" fontId="25" fillId="0" borderId="0" xfId="0" applyFont="1" applyAlignment="1" applyProtection="1">
      <alignment horizontal="center" vertical="center"/>
      <protection hidden="1"/>
    </xf>
    <xf numFmtId="0" fontId="26" fillId="0" borderId="0" xfId="0" applyFont="1" applyAlignment="1">
      <alignment horizontal="center" vertical="center"/>
    </xf>
    <xf numFmtId="0" fontId="0" fillId="0" borderId="21" xfId="0" applyBorder="1" applyAlignment="1">
      <alignment vertical="center" shrinkToFit="1"/>
    </xf>
    <xf numFmtId="0" fontId="3" fillId="13" borderId="6" xfId="0" applyFont="1" applyFill="1" applyBorder="1" applyAlignment="1" applyProtection="1">
      <alignment horizontal="center" vertical="center"/>
      <protection hidden="1"/>
    </xf>
    <xf numFmtId="0" fontId="0" fillId="13" borderId="6" xfId="0" applyFont="1" applyFill="1" applyBorder="1" applyAlignment="1">
      <alignment horizontal="center" vertical="center"/>
    </xf>
    <xf numFmtId="38" fontId="3" fillId="2" borderId="18" xfId="1" applyFont="1" applyFill="1" applyBorder="1" applyAlignment="1" applyProtection="1">
      <alignment vertical="center" shrinkToFit="1"/>
      <protection hidden="1"/>
    </xf>
    <xf numFmtId="0" fontId="0" fillId="0" borderId="34" xfId="0" applyBorder="1" applyAlignment="1">
      <alignment vertical="center"/>
    </xf>
    <xf numFmtId="0" fontId="0" fillId="0" borderId="35" xfId="0" applyBorder="1" applyAlignment="1">
      <alignment vertical="center"/>
    </xf>
    <xf numFmtId="182" fontId="17" fillId="0" borderId="0" xfId="0" applyNumberFormat="1" applyFont="1" applyAlignment="1" applyProtection="1">
      <alignment vertical="center" shrinkToFit="1"/>
      <protection hidden="1"/>
    </xf>
    <xf numFmtId="182" fontId="19" fillId="0" borderId="0" xfId="0" applyNumberFormat="1" applyFont="1" applyAlignment="1" applyProtection="1">
      <alignment vertical="center" shrinkToFit="1"/>
      <protection hidden="1"/>
    </xf>
    <xf numFmtId="180" fontId="17" fillId="6" borderId="43" xfId="0" applyNumberFormat="1" applyFont="1" applyFill="1" applyBorder="1" applyAlignment="1" applyProtection="1">
      <alignment horizontal="center" vertical="center" shrinkToFit="1"/>
      <protection hidden="1"/>
    </xf>
    <xf numFmtId="180" fontId="17" fillId="6" borderId="95" xfId="0" applyNumberFormat="1" applyFont="1" applyFill="1" applyBorder="1" applyAlignment="1" applyProtection="1">
      <alignment horizontal="center" vertical="center" shrinkToFit="1"/>
      <protection hidden="1"/>
    </xf>
    <xf numFmtId="0" fontId="3" fillId="6" borderId="51" xfId="0" applyFont="1" applyFill="1" applyBorder="1" applyAlignment="1" applyProtection="1">
      <alignment horizontal="center" vertical="center" shrinkToFit="1"/>
      <protection hidden="1"/>
    </xf>
    <xf numFmtId="0" fontId="3" fillId="6" borderId="89" xfId="0" applyFont="1" applyFill="1" applyBorder="1" applyAlignment="1" applyProtection="1">
      <alignment horizontal="center" vertical="center" shrinkToFit="1"/>
      <protection hidden="1"/>
    </xf>
    <xf numFmtId="0" fontId="3" fillId="6" borderId="90" xfId="0" applyFont="1" applyFill="1" applyBorder="1" applyAlignment="1" applyProtection="1">
      <alignment horizontal="center" vertical="center" shrinkToFit="1"/>
      <protection hidden="1"/>
    </xf>
    <xf numFmtId="0" fontId="3" fillId="6" borderId="88" xfId="0" applyFont="1" applyFill="1" applyBorder="1" applyAlignment="1" applyProtection="1">
      <alignment horizontal="center" vertical="center" shrinkToFit="1"/>
      <protection hidden="1"/>
    </xf>
    <xf numFmtId="182" fontId="17" fillId="2" borderId="27" xfId="0" applyNumberFormat="1" applyFont="1" applyFill="1" applyBorder="1" applyAlignment="1" applyProtection="1">
      <alignment vertical="center"/>
      <protection hidden="1"/>
    </xf>
    <xf numFmtId="182" fontId="19" fillId="0" borderId="28" xfId="0" applyNumberFormat="1" applyFont="1" applyBorder="1" applyAlignment="1" applyProtection="1">
      <alignment vertical="center"/>
      <protection hidden="1"/>
    </xf>
    <xf numFmtId="0" fontId="3" fillId="2" borderId="46" xfId="0" applyFont="1" applyFill="1" applyBorder="1" applyAlignment="1" applyProtection="1">
      <alignment vertical="center"/>
      <protection hidden="1"/>
    </xf>
    <xf numFmtId="0" fontId="3" fillId="2" borderId="32" xfId="0" applyFont="1" applyFill="1" applyBorder="1" applyAlignment="1" applyProtection="1">
      <alignment vertical="center"/>
      <protection hidden="1"/>
    </xf>
    <xf numFmtId="0" fontId="3" fillId="2" borderId="46" xfId="0" applyFont="1" applyFill="1" applyBorder="1" applyAlignment="1" applyProtection="1">
      <alignment horizontal="center" vertical="center" wrapText="1"/>
      <protection hidden="1"/>
    </xf>
    <xf numFmtId="0" fontId="3" fillId="2" borderId="32" xfId="0" applyFont="1" applyFill="1" applyBorder="1" applyAlignment="1" applyProtection="1">
      <alignment horizontal="center" vertical="center"/>
      <protection hidden="1"/>
    </xf>
    <xf numFmtId="0" fontId="0" fillId="13" borderId="24" xfId="0" applyFont="1" applyFill="1" applyBorder="1" applyAlignment="1">
      <alignment horizontal="center" vertical="center"/>
    </xf>
    <xf numFmtId="0" fontId="17" fillId="2" borderId="6" xfId="0" applyFont="1" applyFill="1" applyBorder="1" applyAlignment="1" applyProtection="1">
      <alignment horizontal="center" vertical="center"/>
      <protection hidden="1"/>
    </xf>
    <xf numFmtId="0" fontId="19" fillId="0" borderId="24" xfId="0" applyFont="1" applyBorder="1" applyAlignment="1" applyProtection="1">
      <alignment vertical="center"/>
      <protection hidden="1"/>
    </xf>
    <xf numFmtId="0" fontId="3" fillId="0" borderId="49" xfId="0" applyFont="1" applyBorder="1" applyAlignment="1" applyProtection="1">
      <alignment vertical="center"/>
      <protection hidden="1"/>
    </xf>
    <xf numFmtId="0" fontId="3" fillId="0" borderId="20" xfId="0" applyFont="1" applyBorder="1" applyAlignment="1" applyProtection="1">
      <alignment vertical="center"/>
      <protection hidden="1"/>
    </xf>
    <xf numFmtId="0" fontId="3" fillId="8" borderId="6" xfId="0" applyFont="1" applyFill="1" applyBorder="1" applyAlignment="1" applyProtection="1">
      <alignment vertical="center" wrapText="1"/>
      <protection hidden="1"/>
    </xf>
    <xf numFmtId="0" fontId="0" fillId="8" borderId="6" xfId="0" applyFill="1" applyBorder="1" applyAlignment="1" applyProtection="1">
      <alignment vertical="center"/>
      <protection hidden="1"/>
    </xf>
    <xf numFmtId="3" fontId="3" fillId="8" borderId="6" xfId="0" applyNumberFormat="1" applyFont="1" applyFill="1" applyBorder="1" applyAlignment="1" applyProtection="1">
      <alignment vertical="center"/>
      <protection hidden="1"/>
    </xf>
    <xf numFmtId="0" fontId="0" fillId="0" borderId="20" xfId="0" applyBorder="1" applyAlignment="1">
      <alignment vertical="center"/>
    </xf>
    <xf numFmtId="0" fontId="3" fillId="0" borderId="20" xfId="0" applyFont="1" applyBorder="1" applyAlignment="1" applyProtection="1">
      <alignment horizontal="center" vertical="center" shrinkToFit="1"/>
      <protection hidden="1"/>
    </xf>
    <xf numFmtId="0" fontId="0" fillId="0" borderId="21" xfId="0" applyBorder="1" applyAlignment="1">
      <alignment horizontal="center" vertical="center"/>
    </xf>
    <xf numFmtId="0" fontId="3" fillId="6" borderId="45" xfId="0" applyFont="1" applyFill="1" applyBorder="1" applyAlignment="1" applyProtection="1">
      <alignment vertical="center"/>
      <protection hidden="1"/>
    </xf>
    <xf numFmtId="0" fontId="3" fillId="6" borderId="29" xfId="0" applyFont="1" applyFill="1" applyBorder="1" applyAlignment="1" applyProtection="1">
      <alignment vertical="center"/>
      <protection hidden="1"/>
    </xf>
    <xf numFmtId="0" fontId="3" fillId="0" borderId="45" xfId="0" applyFont="1" applyBorder="1" applyAlignment="1" applyProtection="1">
      <alignment horizontal="left" vertical="center"/>
      <protection hidden="1"/>
    </xf>
    <xf numFmtId="0" fontId="3" fillId="12" borderId="77" xfId="0" applyFont="1" applyFill="1" applyBorder="1" applyAlignment="1" applyProtection="1">
      <alignment horizontal="center" vertical="center" wrapText="1"/>
      <protection hidden="1"/>
    </xf>
    <xf numFmtId="0" fontId="0" fillId="12" borderId="22" xfId="0" applyFill="1" applyBorder="1" applyAlignment="1">
      <alignment horizontal="center" vertical="center"/>
    </xf>
    <xf numFmtId="0" fontId="3" fillId="0" borderId="46" xfId="0" applyFont="1" applyBorder="1" applyAlignment="1" applyProtection="1">
      <alignment horizontal="center" vertical="center"/>
      <protection hidden="1"/>
    </xf>
    <xf numFmtId="0" fontId="0" fillId="0" borderId="32" xfId="0" applyBorder="1" applyAlignment="1">
      <alignment vertical="center"/>
    </xf>
    <xf numFmtId="0" fontId="3" fillId="12" borderId="76" xfId="0" applyFont="1" applyFill="1" applyBorder="1" applyAlignment="1" applyProtection="1">
      <alignment vertical="center" wrapText="1"/>
      <protection hidden="1"/>
    </xf>
    <xf numFmtId="0" fontId="0" fillId="12" borderId="79" xfId="0" applyFill="1" applyBorder="1" applyAlignment="1">
      <alignment vertical="center"/>
    </xf>
    <xf numFmtId="0" fontId="3" fillId="0" borderId="73" xfId="0" applyFont="1" applyBorder="1" applyAlignment="1" applyProtection="1">
      <alignment vertical="center" wrapText="1"/>
      <protection hidden="1"/>
    </xf>
    <xf numFmtId="0" fontId="0" fillId="0" borderId="74" xfId="0" applyBorder="1" applyAlignment="1">
      <alignment vertical="center"/>
    </xf>
    <xf numFmtId="0" fontId="3" fillId="0" borderId="53" xfId="0" applyFont="1" applyBorder="1" applyAlignment="1" applyProtection="1">
      <alignment vertical="center" wrapText="1"/>
      <protection hidden="1"/>
    </xf>
    <xf numFmtId="0" fontId="0" fillId="0" borderId="22" xfId="0" applyBorder="1" applyAlignment="1">
      <alignment vertical="center"/>
    </xf>
    <xf numFmtId="0" fontId="3" fillId="0" borderId="51" xfId="0" applyFont="1" applyBorder="1" applyAlignment="1" applyProtection="1">
      <alignment horizontal="center" vertical="center"/>
      <protection hidden="1"/>
    </xf>
    <xf numFmtId="0" fontId="0" fillId="0" borderId="52" xfId="0" applyBorder="1" applyAlignment="1">
      <alignment vertical="center"/>
    </xf>
    <xf numFmtId="0" fontId="3" fillId="6" borderId="75" xfId="0" applyFont="1" applyFill="1" applyBorder="1" applyAlignment="1" applyProtection="1">
      <alignment vertical="center"/>
      <protection hidden="1"/>
    </xf>
    <xf numFmtId="38" fontId="3" fillId="13" borderId="18" xfId="1" applyFont="1" applyFill="1" applyBorder="1" applyAlignment="1" applyProtection="1">
      <alignment vertical="center"/>
      <protection hidden="1"/>
    </xf>
    <xf numFmtId="38" fontId="3" fillId="13" borderId="34" xfId="1" applyFont="1" applyFill="1" applyBorder="1" applyAlignment="1" applyProtection="1">
      <alignment vertical="center"/>
      <protection hidden="1"/>
    </xf>
    <xf numFmtId="38" fontId="3" fillId="13" borderId="64" xfId="1" applyFont="1" applyFill="1" applyBorder="1" applyAlignment="1" applyProtection="1">
      <alignment vertical="center"/>
      <protection hidden="1"/>
    </xf>
    <xf numFmtId="0" fontId="19" fillId="0" borderId="87" xfId="0" applyFont="1" applyBorder="1" applyAlignment="1">
      <alignment horizontal="center" vertical="center"/>
    </xf>
    <xf numFmtId="0" fontId="39" fillId="0" borderId="87" xfId="0" applyFont="1" applyBorder="1" applyAlignment="1" applyProtection="1">
      <alignment vertical="center"/>
      <protection hidden="1"/>
    </xf>
    <xf numFmtId="0" fontId="27" fillId="0" borderId="87" xfId="0" applyFont="1" applyBorder="1" applyAlignment="1">
      <alignment vertical="center"/>
    </xf>
    <xf numFmtId="38" fontId="3" fillId="2" borderId="6" xfId="1" applyFont="1" applyFill="1" applyBorder="1" applyAlignment="1" applyProtection="1">
      <alignment vertical="center" shrinkToFit="1"/>
      <protection hidden="1"/>
    </xf>
    <xf numFmtId="0" fontId="0" fillId="0" borderId="6" xfId="0" applyBorder="1" applyAlignment="1">
      <alignment vertical="center"/>
    </xf>
    <xf numFmtId="38" fontId="3" fillId="2" borderId="34" xfId="1" applyFont="1" applyFill="1" applyBorder="1" applyAlignment="1" applyProtection="1">
      <alignment vertical="center" shrinkToFit="1"/>
      <protection hidden="1"/>
    </xf>
    <xf numFmtId="0" fontId="41" fillId="0" borderId="0" xfId="0" applyFont="1" applyAlignment="1" applyProtection="1">
      <alignment horizontal="left" vertical="center" wrapText="1"/>
      <protection hidden="1"/>
    </xf>
    <xf numFmtId="0" fontId="41" fillId="0" borderId="0" xfId="0" applyFont="1" applyAlignment="1">
      <alignment vertical="center" wrapText="1"/>
    </xf>
    <xf numFmtId="190" fontId="46" fillId="0" borderId="0" xfId="0" applyNumberFormat="1" applyFont="1" applyAlignment="1" applyProtection="1">
      <alignment horizontal="left" vertical="center" wrapText="1"/>
      <protection hidden="1"/>
    </xf>
    <xf numFmtId="0" fontId="47" fillId="0" borderId="0" xfId="0" applyFont="1" applyAlignment="1">
      <alignment vertical="center"/>
    </xf>
    <xf numFmtId="0" fontId="5" fillId="0" borderId="6" xfId="0" applyFont="1" applyBorder="1" applyAlignment="1" applyProtection="1">
      <alignment vertical="center" textRotation="255"/>
    </xf>
    <xf numFmtId="0" fontId="3" fillId="0" borderId="6" xfId="0" applyFont="1" applyBorder="1" applyAlignment="1" applyProtection="1">
      <alignment vertical="center" wrapText="1"/>
    </xf>
    <xf numFmtId="0" fontId="3" fillId="0" borderId="6" xfId="0" applyFont="1" applyBorder="1" applyAlignment="1" applyProtection="1">
      <alignment vertical="center"/>
    </xf>
    <xf numFmtId="0" fontId="0" fillId="0" borderId="6" xfId="0" applyBorder="1" applyAlignment="1" applyProtection="1">
      <alignment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5" fillId="0" borderId="25" xfId="0" applyFont="1" applyBorder="1" applyAlignment="1" applyProtection="1">
      <alignment vertical="center"/>
    </xf>
    <xf numFmtId="0" fontId="0" fillId="0" borderId="47" xfId="0" applyBorder="1" applyAlignment="1" applyProtection="1">
      <alignment vertical="center"/>
    </xf>
    <xf numFmtId="0" fontId="3" fillId="0" borderId="18" xfId="0" applyFont="1" applyBorder="1" applyAlignment="1" applyProtection="1">
      <alignment vertical="center"/>
    </xf>
    <xf numFmtId="0" fontId="3" fillId="0" borderId="34" xfId="0" applyFont="1" applyBorder="1" applyAlignment="1" applyProtection="1">
      <alignment vertical="center"/>
    </xf>
  </cellXfs>
  <cellStyles count="2">
    <cellStyle name="桁区切り" xfId="1" builtinId="6"/>
    <cellStyle name="標準" xfId="0" builtinId="0"/>
  </cellStyles>
  <dxfs count="1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ill>
        <patternFill>
          <bgColor rgb="FFFFFF00"/>
        </patternFill>
      </fill>
    </dxf>
    <dxf>
      <font>
        <color theme="0"/>
      </font>
      <fill>
        <patternFill>
          <bgColor rgb="FFFF0000"/>
        </patternFill>
      </fill>
    </dxf>
    <dxf>
      <font>
        <condense val="0"/>
        <extend val="0"/>
        <color indexed="10"/>
      </font>
      <fill>
        <patternFill>
          <bgColor indexed="24"/>
        </patternFill>
      </fill>
    </dxf>
    <dxf>
      <font>
        <condense val="0"/>
        <extend val="0"/>
        <color indexed="10"/>
      </font>
      <fill>
        <patternFill>
          <bgColor indexed="24"/>
        </patternFill>
      </fill>
    </dxf>
    <dxf>
      <font>
        <b val="0"/>
        <i val="0"/>
        <condense val="0"/>
        <extend val="0"/>
        <color indexed="10"/>
      </font>
      <fill>
        <patternFill>
          <bgColor indexed="24"/>
        </patternFill>
      </fill>
    </dxf>
    <dxf>
      <font>
        <b val="0"/>
        <i val="0"/>
        <condense val="0"/>
        <extend val="0"/>
        <color indexed="10"/>
      </font>
      <fill>
        <patternFill>
          <bgColor indexed="2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66FF33"/>
        </patternFill>
      </fill>
    </dxf>
    <dxf>
      <fill>
        <patternFill>
          <bgColor rgb="FF66FF33"/>
        </patternFill>
      </fill>
    </dxf>
    <dxf>
      <fill>
        <patternFill>
          <bgColor rgb="FFFFFF00"/>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ill>
        <patternFill>
          <bgColor rgb="FF66FF33"/>
        </patternFill>
      </fill>
    </dxf>
    <dxf>
      <font>
        <color rgb="FFFF0000"/>
      </font>
      <fill>
        <patternFill>
          <bgColor rgb="FFFFFF00"/>
        </patternFill>
      </fill>
    </dxf>
    <dxf>
      <font>
        <color theme="0"/>
      </font>
      <fill>
        <patternFill patternType="none">
          <bgColor indexed="65"/>
        </patternFill>
      </fill>
    </dxf>
    <dxf>
      <font>
        <b/>
        <i val="0"/>
        <color theme="0"/>
      </font>
      <fill>
        <patternFill>
          <bgColor rgb="FFFF0000"/>
        </patternFill>
      </fill>
    </dxf>
    <dxf>
      <font>
        <condense val="0"/>
        <extend val="0"/>
        <color indexed="9"/>
      </font>
      <fill>
        <patternFill>
          <bgColor indexed="10"/>
        </patternFill>
      </fill>
    </dxf>
  </dxfs>
  <tableStyles count="0" defaultTableStyle="TableStyleMedium2" defaultPivotStyle="PivotStyleLight16"/>
  <colors>
    <mruColors>
      <color rgb="FFFFFFCC"/>
      <color rgb="FF9999FF"/>
      <color rgb="FF66FF33"/>
      <color rgb="FFCC3399"/>
      <color rgb="FFFF9900"/>
      <color rgb="FFCCFFFF"/>
      <color rgb="FFFFCCFF"/>
      <color rgb="FF3333FF"/>
      <color rgb="FF00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209550</xdr:colOff>
      <xdr:row>31</xdr:row>
      <xdr:rowOff>57152</xdr:rowOff>
    </xdr:from>
    <xdr:to>
      <xdr:col>3</xdr:col>
      <xdr:colOff>95250</xdr:colOff>
      <xdr:row>32</xdr:row>
      <xdr:rowOff>371476</xdr:rowOff>
    </xdr:to>
    <xdr:sp macro="" textlink="">
      <xdr:nvSpPr>
        <xdr:cNvPr id="1034" name="AutoShape 10"/>
        <xdr:cNvSpPr>
          <a:spLocks noChangeArrowheads="1"/>
        </xdr:cNvSpPr>
      </xdr:nvSpPr>
      <xdr:spPr bwMode="auto">
        <a:xfrm>
          <a:off x="485775" y="6429377"/>
          <a:ext cx="1428750" cy="485774"/>
        </a:xfrm>
        <a:prstGeom prst="wedgeRoundRectCallout">
          <a:avLst>
            <a:gd name="adj1" fmla="val 112312"/>
            <a:gd name="adj2" fmla="val -364639"/>
            <a:gd name="adj3" fmla="val 16667"/>
          </a:avLst>
        </a:prstGeom>
        <a:solidFill>
          <a:srgbClr xmlns:mc="http://schemas.openxmlformats.org/markup-compatibility/2006" xmlns:a14="http://schemas.microsoft.com/office/drawing/2010/main" val="99CCFF" mc:Ignorable="a14" a14:legacySpreadsheetColorIndex="44">
            <a:alpha val="50000"/>
          </a:srgbClr>
        </a:solidFill>
        <a:ln w="9525">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収入などがなくても</a:t>
          </a:r>
          <a:r>
            <a:rPr lang="ja-JP" altLang="en-US" sz="900" b="1" i="0" u="sng" strike="noStrike" baseline="0">
              <a:solidFill>
                <a:srgbClr val="0000FF"/>
              </a:solidFill>
              <a:latin typeface="ＭＳ ゴシック"/>
              <a:ea typeface="ＭＳ ゴシック"/>
            </a:rPr>
            <a:t>加入する全員</a:t>
          </a:r>
          <a:r>
            <a:rPr lang="ja-JP" altLang="en-US" sz="900" b="1" i="0" u="none" strike="noStrike" baseline="0">
              <a:solidFill>
                <a:srgbClr val="FF0000"/>
              </a:solidFill>
              <a:latin typeface="ＭＳ ゴシック"/>
              <a:ea typeface="ＭＳ ゴシック"/>
            </a:rPr>
            <a:t>の生年月日を入力してください。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57"/>
  <sheetViews>
    <sheetView showGridLines="0" tabSelected="1" topLeftCell="B1" zoomScaleNormal="100" zoomScaleSheetLayoutView="80" workbookViewId="0">
      <selection activeCell="F16" sqref="F16"/>
    </sheetView>
  </sheetViews>
  <sheetFormatPr defaultRowHeight="13.5" x14ac:dyDescent="0.15"/>
  <cols>
    <col min="1" max="1" width="3.625" style="1" hidden="1" customWidth="1"/>
    <col min="2" max="3" width="10.125" style="1" customWidth="1"/>
    <col min="4" max="4" width="3" style="1" customWidth="1"/>
    <col min="5" max="5" width="8.625" style="1" customWidth="1"/>
    <col min="6" max="9" width="11.125" style="1" customWidth="1"/>
    <col min="10" max="10" width="11.125" style="1" hidden="1" customWidth="1"/>
    <col min="11" max="11" width="10.625" style="1" hidden="1" customWidth="1"/>
    <col min="12" max="12" width="11.125" style="1" hidden="1" customWidth="1"/>
    <col min="13" max="13" width="1.625" style="1" hidden="1" customWidth="1"/>
    <col min="14" max="14" width="13.875" style="1" customWidth="1"/>
    <col min="15" max="15" width="14.875" style="1" customWidth="1"/>
    <col min="16" max="17" width="7.625" style="1" customWidth="1"/>
    <col min="18" max="18" width="1.5" style="1" customWidth="1"/>
    <col min="19" max="31" width="2.625" style="1" customWidth="1"/>
    <col min="32" max="32" width="4.875" style="1" customWidth="1"/>
    <col min="33" max="16384" width="9" style="1"/>
  </cols>
  <sheetData>
    <row r="1" spans="2:32" ht="5.0999999999999996" customHeight="1" x14ac:dyDescent="0.15"/>
    <row r="2" spans="2:32" ht="14.25" x14ac:dyDescent="0.15">
      <c r="B2" s="7" t="s">
        <v>47</v>
      </c>
    </row>
    <row r="3" spans="2:32" x14ac:dyDescent="0.15">
      <c r="B3" s="7" t="s">
        <v>46</v>
      </c>
      <c r="J3" s="8"/>
      <c r="K3" s="1" t="s">
        <v>201</v>
      </c>
      <c r="N3" s="1" t="s">
        <v>208</v>
      </c>
    </row>
    <row r="4" spans="2:32" x14ac:dyDescent="0.15">
      <c r="B4" s="7" t="s">
        <v>34</v>
      </c>
      <c r="J4" s="8"/>
      <c r="K4" s="1" t="s">
        <v>202</v>
      </c>
      <c r="N4" s="1" t="s">
        <v>209</v>
      </c>
    </row>
    <row r="5" spans="2:32" ht="6" customHeight="1" x14ac:dyDescent="0.15">
      <c r="B5" s="8"/>
    </row>
    <row r="6" spans="2:32" x14ac:dyDescent="0.15">
      <c r="B6" s="9" t="s">
        <v>35</v>
      </c>
    </row>
    <row r="7" spans="2:32" x14ac:dyDescent="0.15">
      <c r="B7" s="10" t="s">
        <v>142</v>
      </c>
    </row>
    <row r="8" spans="2:32" x14ac:dyDescent="0.15">
      <c r="B8" s="82" t="str">
        <f>"※前年（"&amp;"令和"&amp;DBCS(税率・条件!C1-1)&amp;"年）の1月～１２月までの収入や所得金額を入力してください。"</f>
        <v>※前年（令和５年）の1月～１２月までの収入や所得金額を入力してください。</v>
      </c>
    </row>
    <row r="9" spans="2:32" x14ac:dyDescent="0.15">
      <c r="B9" s="10" t="s">
        <v>143</v>
      </c>
    </row>
    <row r="10" spans="2:32" ht="13.5" customHeight="1" x14ac:dyDescent="0.15">
      <c r="B10" s="10" t="s">
        <v>210</v>
      </c>
      <c r="C10" s="140"/>
      <c r="D10" s="140"/>
      <c r="E10" s="140"/>
      <c r="F10" s="140"/>
      <c r="G10" s="140"/>
      <c r="H10" s="140"/>
      <c r="I10" s="140"/>
      <c r="J10" s="140"/>
      <c r="K10" s="140"/>
      <c r="L10" s="140"/>
      <c r="M10" s="140"/>
      <c r="N10" s="140"/>
      <c r="O10" s="140"/>
    </row>
    <row r="11" spans="2:32" x14ac:dyDescent="0.15">
      <c r="B11" s="10" t="s">
        <v>213</v>
      </c>
    </row>
    <row r="12" spans="2:32" ht="40.5" customHeight="1" x14ac:dyDescent="0.15">
      <c r="B12" s="257" t="s">
        <v>211</v>
      </c>
      <c r="C12" s="258"/>
      <c r="D12" s="258"/>
      <c r="E12" s="258"/>
      <c r="F12" s="258"/>
      <c r="G12" s="258"/>
      <c r="H12" s="258"/>
      <c r="I12" s="258"/>
      <c r="J12" s="258"/>
      <c r="K12" s="258"/>
      <c r="L12" s="258"/>
      <c r="M12" s="258"/>
      <c r="N12" s="258"/>
      <c r="O12" s="258"/>
    </row>
    <row r="13" spans="2:32" x14ac:dyDescent="0.15">
      <c r="B13" s="11" t="s">
        <v>214</v>
      </c>
      <c r="S13" s="1" t="s">
        <v>212</v>
      </c>
    </row>
    <row r="14" spans="2:32" ht="9.9499999999999993" customHeight="1" thickBot="1" x14ac:dyDescent="0.2"/>
    <row r="15" spans="2:32" ht="30" customHeight="1" x14ac:dyDescent="0.15">
      <c r="B15" s="79"/>
      <c r="C15" s="80"/>
      <c r="E15" s="48" t="str">
        <f>"R"&amp;税率・条件!C1&amp;"年度"</f>
        <v>R6年度</v>
      </c>
      <c r="F15" s="17" t="s">
        <v>103</v>
      </c>
      <c r="G15" s="17" t="s">
        <v>38</v>
      </c>
      <c r="H15" s="17" t="s">
        <v>39</v>
      </c>
      <c r="I15" s="16" t="s">
        <v>40</v>
      </c>
      <c r="J15" s="16" t="s">
        <v>41</v>
      </c>
      <c r="K15" s="198" t="s">
        <v>203</v>
      </c>
      <c r="L15" s="239" t="s">
        <v>204</v>
      </c>
      <c r="M15" s="240" t="s">
        <v>205</v>
      </c>
      <c r="N15" s="219" t="s">
        <v>14</v>
      </c>
      <c r="O15" s="223" t="str">
        <f>"R"&amp;税率・条件!C1&amp;"/1/1
時点年齢"</f>
        <v>R6/1/1
時点年齢</v>
      </c>
      <c r="P15" s="229" t="s">
        <v>198</v>
      </c>
      <c r="Q15" s="241" t="s">
        <v>199</v>
      </c>
      <c r="R15" s="237"/>
      <c r="S15" s="246" t="s">
        <v>111</v>
      </c>
      <c r="T15" s="230" t="s">
        <v>112</v>
      </c>
      <c r="U15" s="230" t="s">
        <v>113</v>
      </c>
      <c r="V15" s="230" t="s">
        <v>114</v>
      </c>
      <c r="W15" s="230" t="s">
        <v>115</v>
      </c>
      <c r="X15" s="230" t="s">
        <v>116</v>
      </c>
      <c r="Y15" s="230" t="s">
        <v>117</v>
      </c>
      <c r="Z15" s="230" t="s">
        <v>118</v>
      </c>
      <c r="AA15" s="230" t="s">
        <v>119</v>
      </c>
      <c r="AB15" s="230" t="s">
        <v>120</v>
      </c>
      <c r="AC15" s="230" t="s">
        <v>121</v>
      </c>
      <c r="AD15" s="231" t="s">
        <v>122</v>
      </c>
      <c r="AE15" s="222"/>
      <c r="AF15" s="213" t="s">
        <v>145</v>
      </c>
    </row>
    <row r="16" spans="2:32" ht="20.100000000000001" customHeight="1" x14ac:dyDescent="0.15">
      <c r="B16" s="269" t="s">
        <v>37</v>
      </c>
      <c r="C16" s="263" t="s">
        <v>171</v>
      </c>
      <c r="E16" s="83">
        <v>1</v>
      </c>
      <c r="F16" s="84"/>
      <c r="G16" s="32"/>
      <c r="H16" s="32"/>
      <c r="I16" s="32"/>
      <c r="J16" s="32"/>
      <c r="K16" s="199"/>
      <c r="L16" s="201"/>
      <c r="M16" s="202"/>
      <c r="N16" s="220" t="str">
        <f>IF(Q16&lt;&gt;"","介護該当",IF(計算!B4="未就学",計算!B4,""))</f>
        <v/>
      </c>
      <c r="O16" s="224" t="str">
        <f>IF(F16="","",IF(F16&gt;=DATE(税率・条件!$C$1+2018,1,1),"誕生前",DATEDIF(F16,DATE(税率・条件!$C$1+2018,1,1),"Y")&amp;"歳"))</f>
        <v/>
      </c>
      <c r="P16" s="226" t="str">
        <f>IF(F16="","",IF(計算!AI4=0,"",計算!AI4))</f>
        <v/>
      </c>
      <c r="Q16" s="242" t="str">
        <f>IF(F16="","",IF(計算!AI5=0,"",計算!AI5))</f>
        <v/>
      </c>
      <c r="R16" s="238"/>
      <c r="S16" s="247" t="str">
        <f>計算!AJ4&amp;CHAR(10)&amp;計算!AJ5</f>
        <v xml:space="preserve">
</v>
      </c>
      <c r="T16" s="227" t="str">
        <f>計算!AK4&amp;CHAR(10)&amp;計算!AK5</f>
        <v xml:space="preserve">
</v>
      </c>
      <c r="U16" s="227" t="str">
        <f>計算!AL4&amp;CHAR(10)&amp;計算!AL5</f>
        <v xml:space="preserve">
</v>
      </c>
      <c r="V16" s="227" t="str">
        <f>計算!AM4&amp;CHAR(10)&amp;計算!AM5</f>
        <v xml:space="preserve">
</v>
      </c>
      <c r="W16" s="227" t="str">
        <f>計算!AN4&amp;CHAR(10)&amp;計算!AN5</f>
        <v xml:space="preserve">
</v>
      </c>
      <c r="X16" s="227" t="str">
        <f>計算!AO4&amp;CHAR(10)&amp;計算!AO5</f>
        <v xml:space="preserve">
</v>
      </c>
      <c r="Y16" s="227" t="str">
        <f>計算!AP4&amp;CHAR(10)&amp;計算!AP5</f>
        <v xml:space="preserve">
</v>
      </c>
      <c r="Z16" s="227" t="str">
        <f>計算!AQ4&amp;CHAR(10)&amp;計算!AQ5</f>
        <v xml:space="preserve">
</v>
      </c>
      <c r="AA16" s="227" t="str">
        <f>計算!AR4&amp;CHAR(10)&amp;計算!AR5</f>
        <v xml:space="preserve">
</v>
      </c>
      <c r="AB16" s="227" t="str">
        <f>計算!AS4&amp;CHAR(10)&amp;計算!AS5</f>
        <v xml:space="preserve">
</v>
      </c>
      <c r="AC16" s="227" t="str">
        <f>計算!AT4&amp;CHAR(10)&amp;計算!AT5</f>
        <v xml:space="preserve">
</v>
      </c>
      <c r="AD16" s="232" t="str">
        <f>計算!AU4&amp;CHAR(10)&amp;計算!AU5</f>
        <v xml:space="preserve">
</v>
      </c>
      <c r="AE16" s="222"/>
      <c r="AF16" s="214" t="str">
        <f>IF(AND($H$25&lt;&gt;"",$C$19="全員申告済み"),計算!S4,"")</f>
        <v/>
      </c>
    </row>
    <row r="17" spans="2:32" ht="20.100000000000001" customHeight="1" x14ac:dyDescent="0.15">
      <c r="B17" s="269"/>
      <c r="C17" s="270"/>
      <c r="E17" s="14" t="str">
        <f>IF(E16&lt;&gt;"擬　主","２","１")</f>
        <v>２</v>
      </c>
      <c r="F17" s="84"/>
      <c r="G17" s="32"/>
      <c r="H17" s="32"/>
      <c r="I17" s="32"/>
      <c r="J17" s="32"/>
      <c r="K17" s="199"/>
      <c r="L17" s="201"/>
      <c r="M17" s="202"/>
      <c r="N17" s="220" t="str">
        <f>IF(Q17&lt;&gt;"","介護該当",IF(計算!B6="未就学",計算!B6,""))</f>
        <v/>
      </c>
      <c r="O17" s="224" t="str">
        <f>IF(F17="","",IF(F17&gt;=DATE(税率・条件!$C$1+2018,1,1),"誕生前",DATEDIF(F17,DATE(税率・条件!$C$1+2018,1,1),"Y")&amp;"歳"))</f>
        <v/>
      </c>
      <c r="P17" s="226" t="str">
        <f>IF(F17="","",IF(計算!AI6=0,"",計算!AI6))</f>
        <v/>
      </c>
      <c r="Q17" s="242" t="str">
        <f>IF(F17="","",IF(計算!AI7=0,"",計算!AI7))</f>
        <v/>
      </c>
      <c r="R17" s="237"/>
      <c r="S17" s="248" t="str">
        <f>計算!AJ6&amp;CHAR(10)&amp;計算!AJ7</f>
        <v xml:space="preserve">
</v>
      </c>
      <c r="T17" s="228" t="str">
        <f>計算!AK6&amp;CHAR(10)&amp;計算!AK7</f>
        <v xml:space="preserve">
</v>
      </c>
      <c r="U17" s="228" t="str">
        <f>計算!AL6&amp;CHAR(10)&amp;計算!AL7</f>
        <v xml:space="preserve">
</v>
      </c>
      <c r="V17" s="228" t="str">
        <f>計算!AM6&amp;CHAR(10)&amp;計算!AM7</f>
        <v xml:space="preserve">
</v>
      </c>
      <c r="W17" s="228" t="str">
        <f>計算!AN6&amp;CHAR(10)&amp;計算!AN7</f>
        <v xml:space="preserve">
</v>
      </c>
      <c r="X17" s="228" t="str">
        <f>計算!AO6&amp;CHAR(10)&amp;計算!AO7</f>
        <v xml:space="preserve">
</v>
      </c>
      <c r="Y17" s="228" t="str">
        <f>計算!AP6&amp;CHAR(10)&amp;計算!AP7</f>
        <v xml:space="preserve">
</v>
      </c>
      <c r="Z17" s="228" t="str">
        <f>計算!AQ6&amp;CHAR(10)&amp;計算!AQ7</f>
        <v xml:space="preserve">
</v>
      </c>
      <c r="AA17" s="228" t="str">
        <f>計算!AR6&amp;CHAR(10)&amp;計算!AR7</f>
        <v xml:space="preserve">
</v>
      </c>
      <c r="AB17" s="228" t="str">
        <f>計算!AS6&amp;CHAR(10)&amp;計算!AS7</f>
        <v xml:space="preserve">
</v>
      </c>
      <c r="AC17" s="228" t="str">
        <f>計算!AT6&amp;CHAR(10)&amp;計算!AT7</f>
        <v xml:space="preserve">
</v>
      </c>
      <c r="AD17" s="233" t="str">
        <f>計算!AU6&amp;CHAR(10)&amp;計算!AU7</f>
        <v xml:space="preserve">
</v>
      </c>
      <c r="AE17" s="222"/>
      <c r="AF17" s="214" t="str">
        <f>IF(AND($H$25&lt;&gt;"",$C$19="全員申告済み"),計算!S6,"")</f>
        <v/>
      </c>
    </row>
    <row r="18" spans="2:32" ht="20.100000000000001" customHeight="1" x14ac:dyDescent="0.15">
      <c r="B18" s="81"/>
      <c r="C18" s="208"/>
      <c r="E18" s="14" t="str">
        <f>IF(E16&lt;&gt;"擬　主","３","２")</f>
        <v>３</v>
      </c>
      <c r="F18" s="84"/>
      <c r="G18" s="32"/>
      <c r="H18" s="32"/>
      <c r="I18" s="32"/>
      <c r="J18" s="32"/>
      <c r="K18" s="199"/>
      <c r="L18" s="201"/>
      <c r="M18" s="202"/>
      <c r="N18" s="220" t="str">
        <f>IF(Q18&lt;&gt;"","介護該当",IF(計算!B8="未就学",計算!B8,""))</f>
        <v/>
      </c>
      <c r="O18" s="224" t="str">
        <f>IF(F18="","",IF(F18&gt;=DATE(税率・条件!$C$1+2018,1,1),"誕生前",DATEDIF(F18,DATE(税率・条件!$C$1+2018,1,1),"Y")&amp;"歳"))</f>
        <v/>
      </c>
      <c r="P18" s="226" t="str">
        <f>IF(F18="","",IF(計算!AI8=0,"",計算!AI8))</f>
        <v/>
      </c>
      <c r="Q18" s="242" t="str">
        <f>IF(F18="","",IF(計算!AI9=0,"",計算!AI9))</f>
        <v/>
      </c>
      <c r="R18" s="237"/>
      <c r="S18" s="248" t="str">
        <f>計算!AJ8&amp;CHAR(10)&amp;計算!AJ9</f>
        <v xml:space="preserve">
</v>
      </c>
      <c r="T18" s="228" t="str">
        <f>計算!AK8&amp;CHAR(10)&amp;計算!AK9</f>
        <v xml:space="preserve">
</v>
      </c>
      <c r="U18" s="228" t="str">
        <f>計算!AL8&amp;CHAR(10)&amp;計算!AL9</f>
        <v xml:space="preserve">
</v>
      </c>
      <c r="V18" s="228" t="str">
        <f>計算!AM8&amp;CHAR(10)&amp;計算!AM9</f>
        <v xml:space="preserve">
</v>
      </c>
      <c r="W18" s="228" t="str">
        <f>計算!AN8&amp;CHAR(10)&amp;計算!AN9</f>
        <v xml:space="preserve">
</v>
      </c>
      <c r="X18" s="228" t="str">
        <f>計算!AO8&amp;CHAR(10)&amp;計算!AO9</f>
        <v xml:space="preserve">
</v>
      </c>
      <c r="Y18" s="228" t="str">
        <f>計算!AP8&amp;CHAR(10)&amp;計算!AP9</f>
        <v xml:space="preserve">
</v>
      </c>
      <c r="Z18" s="228" t="str">
        <f>計算!AQ8&amp;CHAR(10)&amp;計算!AQ9</f>
        <v xml:space="preserve">
</v>
      </c>
      <c r="AA18" s="228" t="str">
        <f>計算!AR8&amp;CHAR(10)&amp;計算!AR9</f>
        <v xml:space="preserve">
</v>
      </c>
      <c r="AB18" s="228" t="str">
        <f>計算!AS8&amp;CHAR(10)&amp;計算!AS9</f>
        <v xml:space="preserve">
</v>
      </c>
      <c r="AC18" s="228" t="str">
        <f>計算!AT8&amp;CHAR(10)&amp;計算!AT9</f>
        <v xml:space="preserve">
</v>
      </c>
      <c r="AD18" s="233" t="str">
        <f>計算!AU8&amp;CHAR(10)&amp;計算!AU9</f>
        <v xml:space="preserve">
</v>
      </c>
      <c r="AE18" s="222"/>
      <c r="AF18" s="214" t="str">
        <f>IF(AND($H$25&lt;&gt;"",$C$19="全員申告済み"),計算!S8,"")</f>
        <v/>
      </c>
    </row>
    <row r="19" spans="2:32" ht="20.100000000000001" customHeight="1" x14ac:dyDescent="0.15">
      <c r="B19" s="269" t="s">
        <v>42</v>
      </c>
      <c r="C19" s="263" t="s">
        <v>207</v>
      </c>
      <c r="E19" s="14" t="str">
        <f>IF(E16&lt;&gt;"擬　主","４","３")</f>
        <v>４</v>
      </c>
      <c r="F19" s="84"/>
      <c r="G19" s="32"/>
      <c r="H19" s="32"/>
      <c r="I19" s="32"/>
      <c r="J19" s="32"/>
      <c r="K19" s="199"/>
      <c r="L19" s="201"/>
      <c r="M19" s="202"/>
      <c r="N19" s="220" t="str">
        <f>IF(Q19&lt;&gt;"","介護該当",IF(計算!B10="未就学",計算!B10,""))</f>
        <v/>
      </c>
      <c r="O19" s="224" t="str">
        <f>IF(F19="","",IF(F19&gt;=DATE(税率・条件!$C$1+2018,1,1),"誕生前",DATEDIF(F19,DATE(税率・条件!$C$1+2018,1,1),"Y")&amp;"歳"))</f>
        <v/>
      </c>
      <c r="P19" s="226" t="str">
        <f>IF(F19="","",IF(計算!AI10=0,"",計算!AI10))</f>
        <v/>
      </c>
      <c r="Q19" s="242" t="str">
        <f>IF(F19="","",IF(計算!AI11=0,"",計算!AI11))</f>
        <v/>
      </c>
      <c r="R19" s="237"/>
      <c r="S19" s="248" t="str">
        <f>計算!AJ10&amp;CHAR(10)&amp;計算!AJ11</f>
        <v xml:space="preserve">
</v>
      </c>
      <c r="T19" s="228" t="str">
        <f>計算!AK10&amp;CHAR(10)&amp;計算!AK11</f>
        <v xml:space="preserve">
</v>
      </c>
      <c r="U19" s="228" t="str">
        <f>計算!AL10&amp;CHAR(10)&amp;計算!AL11</f>
        <v xml:space="preserve">
</v>
      </c>
      <c r="V19" s="228" t="str">
        <f>計算!AM10&amp;CHAR(10)&amp;計算!AM11</f>
        <v xml:space="preserve">
</v>
      </c>
      <c r="W19" s="228" t="str">
        <f>計算!AN10&amp;CHAR(10)&amp;計算!AN11</f>
        <v xml:space="preserve">
</v>
      </c>
      <c r="X19" s="228" t="str">
        <f>計算!AO10&amp;CHAR(10)&amp;計算!AO11</f>
        <v xml:space="preserve">
</v>
      </c>
      <c r="Y19" s="228" t="str">
        <f>計算!AP10&amp;CHAR(10)&amp;計算!AP11</f>
        <v xml:space="preserve">
</v>
      </c>
      <c r="Z19" s="228" t="str">
        <f>計算!AQ10&amp;CHAR(10)&amp;計算!AQ11</f>
        <v xml:space="preserve">
</v>
      </c>
      <c r="AA19" s="228" t="str">
        <f>計算!AR10&amp;CHAR(10)&amp;計算!AR11</f>
        <v xml:space="preserve">
</v>
      </c>
      <c r="AB19" s="228" t="str">
        <f>計算!AS10&amp;CHAR(10)&amp;計算!AS11</f>
        <v xml:space="preserve">
</v>
      </c>
      <c r="AC19" s="228" t="str">
        <f>計算!AT10&amp;CHAR(10)&amp;計算!AT11</f>
        <v xml:space="preserve">
</v>
      </c>
      <c r="AD19" s="233" t="str">
        <f>計算!AU10&amp;CHAR(10)&amp;計算!AU11</f>
        <v xml:space="preserve">
</v>
      </c>
      <c r="AE19" s="222"/>
      <c r="AF19" s="214" t="str">
        <f>IF(AND($H$25&lt;&gt;"",$C$19="全員申告済み"),計算!S10,"")</f>
        <v/>
      </c>
    </row>
    <row r="20" spans="2:32" ht="20.100000000000001" customHeight="1" x14ac:dyDescent="0.15">
      <c r="B20" s="269"/>
      <c r="C20" s="263"/>
      <c r="E20" s="14" t="str">
        <f>IF(E16&lt;&gt;"擬　主","５","４")</f>
        <v>５</v>
      </c>
      <c r="F20" s="84"/>
      <c r="G20" s="32"/>
      <c r="H20" s="32"/>
      <c r="I20" s="32"/>
      <c r="J20" s="32"/>
      <c r="K20" s="199"/>
      <c r="L20" s="201"/>
      <c r="M20" s="202"/>
      <c r="N20" s="220" t="str">
        <f>IF(Q20&lt;&gt;"","介護該当",IF(計算!B12="未就学",計算!B12,""))</f>
        <v/>
      </c>
      <c r="O20" s="224" t="str">
        <f>IF(F20="","",IF(F20&gt;=DATE(税率・条件!$C$1+2018,1,1),"誕生前",DATEDIF(F20,DATE(税率・条件!$C$1+2018,1,1),"Y")&amp;"歳"))</f>
        <v/>
      </c>
      <c r="P20" s="226" t="str">
        <f>IF(F20="","",IF(計算!AI12=0,"",計算!AI12))</f>
        <v/>
      </c>
      <c r="Q20" s="242" t="str">
        <f>IF(F20="","",IF(計算!AI13=0,"",計算!AI13))</f>
        <v/>
      </c>
      <c r="R20" s="237"/>
      <c r="S20" s="248" t="str">
        <f>計算!AJ12&amp;CHAR(10)&amp;計算!AJ13</f>
        <v xml:space="preserve">
</v>
      </c>
      <c r="T20" s="228" t="str">
        <f>計算!AK12&amp;CHAR(10)&amp;計算!AK13</f>
        <v xml:space="preserve">
</v>
      </c>
      <c r="U20" s="228" t="str">
        <f>計算!AL12&amp;CHAR(10)&amp;計算!AL13</f>
        <v xml:space="preserve">
</v>
      </c>
      <c r="V20" s="228" t="str">
        <f>計算!AM12&amp;CHAR(10)&amp;計算!AM13</f>
        <v xml:space="preserve">
</v>
      </c>
      <c r="W20" s="228" t="str">
        <f>計算!AN12&amp;CHAR(10)&amp;計算!AN13</f>
        <v xml:space="preserve">
</v>
      </c>
      <c r="X20" s="228" t="str">
        <f>計算!AO12&amp;CHAR(10)&amp;計算!AO13</f>
        <v xml:space="preserve">
</v>
      </c>
      <c r="Y20" s="228" t="str">
        <f>計算!AP12&amp;CHAR(10)&amp;計算!AP13</f>
        <v xml:space="preserve">
</v>
      </c>
      <c r="Z20" s="228" t="str">
        <f>計算!AQ12&amp;CHAR(10)&amp;計算!AQ13</f>
        <v xml:space="preserve">
</v>
      </c>
      <c r="AA20" s="228" t="str">
        <f>計算!AR12&amp;CHAR(10)&amp;計算!AR13</f>
        <v xml:space="preserve">
</v>
      </c>
      <c r="AB20" s="228" t="str">
        <f>計算!AS12&amp;CHAR(10)&amp;計算!AS13</f>
        <v xml:space="preserve">
</v>
      </c>
      <c r="AC20" s="228" t="str">
        <f>計算!AT12&amp;CHAR(10)&amp;計算!AT13</f>
        <v xml:space="preserve">
</v>
      </c>
      <c r="AD20" s="233" t="str">
        <f>計算!AU12&amp;CHAR(10)&amp;計算!AU13</f>
        <v xml:space="preserve">
</v>
      </c>
      <c r="AE20" s="222"/>
      <c r="AF20" s="214" t="str">
        <f>IF(AND($H$25&lt;&gt;"",$C$19="全員申告済み"),計算!S12,"")</f>
        <v/>
      </c>
    </row>
    <row r="21" spans="2:32" ht="20.100000000000001" customHeight="1" x14ac:dyDescent="0.15">
      <c r="B21" s="277"/>
      <c r="C21" s="264"/>
      <c r="E21" s="14" t="str">
        <f>IF(E16&lt;&gt;"擬　主","６","５")</f>
        <v>６</v>
      </c>
      <c r="F21" s="84"/>
      <c r="G21" s="32"/>
      <c r="H21" s="32"/>
      <c r="I21" s="32"/>
      <c r="J21" s="32"/>
      <c r="K21" s="199"/>
      <c r="L21" s="201"/>
      <c r="M21" s="202"/>
      <c r="N21" s="220" t="str">
        <f>IF(Q21&lt;&gt;"","介護該当",IF(計算!B14="未就学",計算!B14,""))</f>
        <v/>
      </c>
      <c r="O21" s="224" t="str">
        <f>IF(F21="","",IF(F21&gt;=DATE(税率・条件!$C$1+2018,1,1),"誕生前",DATEDIF(F21,DATE(税率・条件!$C$1+2018,1,1),"Y")&amp;"歳"))</f>
        <v/>
      </c>
      <c r="P21" s="226" t="str">
        <f>IF(F21="","",IF(計算!AI14=0,"",計算!AI14))</f>
        <v/>
      </c>
      <c r="Q21" s="242" t="str">
        <f>IF(F21="","",IF(計算!AI15=0,"",計算!AI15))</f>
        <v/>
      </c>
      <c r="R21" s="237"/>
      <c r="S21" s="248" t="str">
        <f>計算!AJ14&amp;CHAR(10)&amp;計算!AJ15</f>
        <v xml:space="preserve">
</v>
      </c>
      <c r="T21" s="228" t="str">
        <f>計算!AK14&amp;CHAR(10)&amp;計算!AK15</f>
        <v xml:space="preserve">
</v>
      </c>
      <c r="U21" s="228" t="str">
        <f>計算!AL14&amp;CHAR(10)&amp;計算!AL15</f>
        <v xml:space="preserve">
</v>
      </c>
      <c r="V21" s="228" t="str">
        <f>計算!AM14&amp;CHAR(10)&amp;計算!AM15</f>
        <v xml:space="preserve">
</v>
      </c>
      <c r="W21" s="228" t="str">
        <f>計算!AN14&amp;CHAR(10)&amp;計算!AN15</f>
        <v xml:space="preserve">
</v>
      </c>
      <c r="X21" s="228" t="str">
        <f>計算!AO14&amp;CHAR(10)&amp;計算!AO15</f>
        <v xml:space="preserve">
</v>
      </c>
      <c r="Y21" s="228" t="str">
        <f>計算!AP14&amp;CHAR(10)&amp;計算!AP15</f>
        <v xml:space="preserve">
</v>
      </c>
      <c r="Z21" s="228" t="str">
        <f>計算!AQ14&amp;CHAR(10)&amp;計算!AQ15</f>
        <v xml:space="preserve">
</v>
      </c>
      <c r="AA21" s="228" t="str">
        <f>計算!AR14&amp;CHAR(10)&amp;計算!AR15</f>
        <v xml:space="preserve">
</v>
      </c>
      <c r="AB21" s="228" t="str">
        <f>計算!AS14&amp;CHAR(10)&amp;計算!AS15</f>
        <v xml:space="preserve">
</v>
      </c>
      <c r="AC21" s="228" t="str">
        <f>計算!AT14&amp;CHAR(10)&amp;計算!AT15</f>
        <v xml:space="preserve">
</v>
      </c>
      <c r="AD21" s="233" t="str">
        <f>計算!AU14&amp;CHAR(10)&amp;計算!AU15</f>
        <v xml:space="preserve">
</v>
      </c>
      <c r="AE21" s="222"/>
      <c r="AF21" s="214" t="str">
        <f>IF(AND($H$25&lt;&gt;"",$C$19="全員申告済み"),計算!S14,"")</f>
        <v/>
      </c>
    </row>
    <row r="22" spans="2:32" ht="20.100000000000001" customHeight="1" x14ac:dyDescent="0.15">
      <c r="B22" s="211"/>
      <c r="C22" s="212"/>
      <c r="E22" s="14" t="str">
        <f>IF(E16&lt;&gt;"擬　主","７","６")</f>
        <v>７</v>
      </c>
      <c r="F22" s="84"/>
      <c r="G22" s="32"/>
      <c r="H22" s="32"/>
      <c r="I22" s="32"/>
      <c r="J22" s="32"/>
      <c r="K22" s="199"/>
      <c r="L22" s="201"/>
      <c r="M22" s="202"/>
      <c r="N22" s="220" t="str">
        <f>IF(Q22&lt;&gt;"","介護該当",IF(計算!B16="未就学",計算!B16,""))</f>
        <v/>
      </c>
      <c r="O22" s="224" t="str">
        <f>IF(F22="","",IF(F22&gt;=DATE(税率・条件!$C$1+2018,1,1),"誕生前",DATEDIF(F22,DATE(税率・条件!$C$1+2018,1,1),"Y")&amp;"歳"))</f>
        <v/>
      </c>
      <c r="P22" s="226" t="str">
        <f>IF(F22="","",IF(計算!AI16=0,"",計算!AI16))</f>
        <v/>
      </c>
      <c r="Q22" s="242" t="str">
        <f>IF(F22="","",IF(計算!AI17=0,"",計算!AI17))</f>
        <v/>
      </c>
      <c r="R22" s="237"/>
      <c r="S22" s="248" t="str">
        <f>計算!AJ16&amp;CHAR(10)&amp;計算!AJ17</f>
        <v xml:space="preserve">
</v>
      </c>
      <c r="T22" s="228" t="str">
        <f>計算!AK16&amp;CHAR(10)&amp;計算!AK17</f>
        <v xml:space="preserve">
</v>
      </c>
      <c r="U22" s="228" t="str">
        <f>計算!AL16&amp;CHAR(10)&amp;計算!AL17</f>
        <v xml:space="preserve">
</v>
      </c>
      <c r="V22" s="228" t="str">
        <f>計算!AM16&amp;CHAR(10)&amp;計算!AM17</f>
        <v xml:space="preserve">
</v>
      </c>
      <c r="W22" s="228" t="str">
        <f>計算!AN16&amp;CHAR(10)&amp;計算!AN17</f>
        <v xml:space="preserve">
</v>
      </c>
      <c r="X22" s="228" t="str">
        <f>計算!AO16&amp;CHAR(10)&amp;計算!AO17</f>
        <v xml:space="preserve">
</v>
      </c>
      <c r="Y22" s="228" t="str">
        <f>計算!AP16&amp;CHAR(10)&amp;計算!AP17</f>
        <v xml:space="preserve">
</v>
      </c>
      <c r="Z22" s="228" t="str">
        <f>計算!AQ16&amp;CHAR(10)&amp;計算!AQ17</f>
        <v xml:space="preserve">
</v>
      </c>
      <c r="AA22" s="228" t="str">
        <f>計算!AR16&amp;CHAR(10)&amp;計算!AR17</f>
        <v xml:space="preserve">
</v>
      </c>
      <c r="AB22" s="228" t="str">
        <f>計算!AS16&amp;CHAR(10)&amp;計算!AS17</f>
        <v xml:space="preserve">
</v>
      </c>
      <c r="AC22" s="228" t="str">
        <f>計算!AT16&amp;CHAR(10)&amp;計算!AT17</f>
        <v xml:space="preserve">
</v>
      </c>
      <c r="AD22" s="233" t="str">
        <f>計算!AU16&amp;CHAR(10)&amp;計算!AU17</f>
        <v xml:space="preserve">
</v>
      </c>
      <c r="AE22" s="222"/>
      <c r="AF22" s="214" t="str">
        <f>IF(AND($H$25&lt;&gt;"",$C$19="全員申告済み"),計算!S16,"")</f>
        <v/>
      </c>
    </row>
    <row r="23" spans="2:32" ht="20.100000000000001" customHeight="1" thickBot="1" x14ac:dyDescent="0.2">
      <c r="B23" s="211"/>
      <c r="C23" s="212"/>
      <c r="E23" s="15" t="str">
        <f>IF(E16&lt;&gt;"擬　主","８","７")</f>
        <v>８</v>
      </c>
      <c r="F23" s="85"/>
      <c r="G23" s="33"/>
      <c r="H23" s="33"/>
      <c r="I23" s="33"/>
      <c r="J23" s="33"/>
      <c r="K23" s="200"/>
      <c r="L23" s="243"/>
      <c r="M23" s="244"/>
      <c r="N23" s="221" t="str">
        <f>IF(Q23&lt;&gt;"","介護該当",IF(計算!B18="未就学",計算!B18,""))</f>
        <v/>
      </c>
      <c r="O23" s="225" t="str">
        <f>IF(F23="","",IF(F23&gt;=DATE(税率・条件!$C$1+2018,1,1),"誕生前",DATEDIF(F23,DATE(税率・条件!$C$1+2018,1,1),"Y")&amp;"歳"))</f>
        <v/>
      </c>
      <c r="P23" s="234" t="str">
        <f>IF(F23="","",IF(計算!AI18=0,"",計算!AI18))</f>
        <v/>
      </c>
      <c r="Q23" s="245" t="str">
        <f>IF(F23="","",IF(計算!AI19=0,"",計算!AI19))</f>
        <v/>
      </c>
      <c r="R23" s="237"/>
      <c r="S23" s="249" t="str">
        <f>計算!AJ18&amp;CHAR(10)&amp;計算!AJ19</f>
        <v xml:space="preserve">
</v>
      </c>
      <c r="T23" s="235" t="str">
        <f>計算!AK18&amp;CHAR(10)&amp;計算!AK19</f>
        <v xml:space="preserve">
</v>
      </c>
      <c r="U23" s="235" t="str">
        <f>計算!AL18&amp;CHAR(10)&amp;計算!AL19</f>
        <v xml:space="preserve">
</v>
      </c>
      <c r="V23" s="235" t="str">
        <f>計算!AM18&amp;CHAR(10)&amp;計算!AM19</f>
        <v xml:space="preserve">
</v>
      </c>
      <c r="W23" s="235" t="str">
        <f>計算!AN18&amp;CHAR(10)&amp;計算!AN19</f>
        <v xml:space="preserve">
</v>
      </c>
      <c r="X23" s="235" t="str">
        <f>計算!AO18&amp;CHAR(10)&amp;計算!AO19</f>
        <v xml:space="preserve">
</v>
      </c>
      <c r="Y23" s="235" t="str">
        <f>計算!AP18&amp;CHAR(10)&amp;計算!AP19</f>
        <v xml:space="preserve">
</v>
      </c>
      <c r="Z23" s="235" t="str">
        <f>計算!AQ18&amp;CHAR(10)&amp;計算!AQ19</f>
        <v xml:space="preserve">
</v>
      </c>
      <c r="AA23" s="235" t="str">
        <f>計算!AR18&amp;CHAR(10)&amp;計算!AR19</f>
        <v xml:space="preserve">
</v>
      </c>
      <c r="AB23" s="235" t="str">
        <f>計算!AS18&amp;CHAR(10)&amp;計算!AS19</f>
        <v xml:space="preserve">
</v>
      </c>
      <c r="AC23" s="235" t="str">
        <f>計算!AT18&amp;CHAR(10)&amp;計算!AT19</f>
        <v xml:space="preserve">
</v>
      </c>
      <c r="AD23" s="236" t="str">
        <f>計算!AU18&amp;CHAR(10)&amp;計算!AU19</f>
        <v xml:space="preserve">
</v>
      </c>
      <c r="AE23" s="222"/>
      <c r="AF23" s="214" t="str">
        <f>IF(AND($H$25&lt;&gt;"",$C$19="全員申告済み"),計算!S18,"")</f>
        <v/>
      </c>
    </row>
    <row r="24" spans="2:32" ht="20.100000000000001" customHeight="1" thickBot="1" x14ac:dyDescent="0.2">
      <c r="B24" s="65"/>
      <c r="C24" s="65"/>
      <c r="K24" s="138" t="s">
        <v>193</v>
      </c>
      <c r="U24" s="143" t="str">
        <f>IF(AND($H$25&lt;&gt;"",$C$19="全員申告済み"),"※黄色のセルが軽減判定対象者","")</f>
        <v/>
      </c>
    </row>
    <row r="25" spans="2:32" ht="15.95" customHeight="1" thickBot="1" x14ac:dyDescent="0.2">
      <c r="B25" s="265" t="s">
        <v>68</v>
      </c>
      <c r="C25" s="267" t="s">
        <v>206</v>
      </c>
      <c r="F25" s="273" t="s">
        <v>48</v>
      </c>
      <c r="G25" s="274"/>
      <c r="H25" s="5" t="str">
        <f>IF(OR(COUNT(P16:P23)=0,F16=""),"",COUNT(P16:P23))</f>
        <v/>
      </c>
      <c r="K25" s="134">
        <v>4</v>
      </c>
      <c r="L25" s="130" t="str">
        <f>IF(H25="","",計算!Z80)</f>
        <v/>
      </c>
      <c r="M25" s="215">
        <v>10</v>
      </c>
      <c r="N25" s="218"/>
    </row>
    <row r="26" spans="2:32" ht="15.95" hidden="1" customHeight="1" thickBot="1" x14ac:dyDescent="0.2">
      <c r="B26" s="266"/>
      <c r="C26" s="268"/>
      <c r="F26" s="273" t="str">
        <f>IF(計算!M35="","軽 減 該 当","強制軽減該当")</f>
        <v>軽 減 該 当</v>
      </c>
      <c r="G26" s="274"/>
      <c r="H26" s="6" t="str">
        <f>IF(H25="","",IF(計算!M34=70%,"７割軽減",IF(計算!M34=50%,"５割軽減",IF(計算!M34=20%,"２割軽減","軽減なし"))))</f>
        <v/>
      </c>
      <c r="I26" s="205" t="str">
        <f>IF(OR(I27&lt;&gt;"",I28&lt;&gt;"",I29&lt;&gt;""),"※月割限度","")</f>
        <v/>
      </c>
      <c r="J26" s="205"/>
      <c r="K26" s="135">
        <v>5</v>
      </c>
      <c r="L26" s="131" t="str">
        <f>IF(H25="","",計算!AA80)</f>
        <v/>
      </c>
      <c r="M26" s="216">
        <v>11</v>
      </c>
      <c r="N26" s="218"/>
    </row>
    <row r="27" spans="2:32" ht="15.95" customHeight="1" thickBot="1" x14ac:dyDescent="0.2">
      <c r="F27" s="273" t="s">
        <v>140</v>
      </c>
      <c r="G27" s="274"/>
      <c r="H27" s="2" t="str">
        <f>IF(H25="","",計算!R28)</f>
        <v/>
      </c>
      <c r="I27" s="205" t="str">
        <f>IF(COUNTIF(計算!Z50:AQ50,"該当")=0,""," "&amp;COUNTIF(計算!Z50:AQ50,"該当")&amp;"ｶ月該当")</f>
        <v/>
      </c>
      <c r="J27" s="205"/>
      <c r="K27" s="136">
        <v>6</v>
      </c>
      <c r="L27" s="132" t="str">
        <f>IF(H25="","",計算!AB80)</f>
        <v/>
      </c>
      <c r="M27" s="216">
        <v>12</v>
      </c>
      <c r="N27" s="218"/>
    </row>
    <row r="28" spans="2:32" ht="15.95" customHeight="1" thickBot="1" x14ac:dyDescent="0.2">
      <c r="F28" s="275" t="s">
        <v>138</v>
      </c>
      <c r="G28" s="276"/>
      <c r="H28" s="12" t="str">
        <f>IF(H25="","",計算!R33)</f>
        <v/>
      </c>
      <c r="I28" s="205" t="str">
        <f>IF(COUNTIF(計算!Z64:AQ64,"該当")=0,""," "&amp;COUNTIF(計算!Z64:AQ64,"該当")&amp;"ｶ月該当")</f>
        <v/>
      </c>
      <c r="J28" s="205"/>
      <c r="K28" s="136">
        <v>7</v>
      </c>
      <c r="L28" s="132" t="str">
        <f>IF(H25="","",計算!AC80)</f>
        <v/>
      </c>
      <c r="M28" s="216">
        <v>1</v>
      </c>
      <c r="N28" s="218"/>
    </row>
    <row r="29" spans="2:32" ht="15.95" customHeight="1" thickBot="1" x14ac:dyDescent="0.2">
      <c r="F29" s="273" t="s">
        <v>139</v>
      </c>
      <c r="G29" s="274"/>
      <c r="H29" s="2" t="str">
        <f>IF(H25="","",計算!R38)</f>
        <v/>
      </c>
      <c r="I29" s="205" t="str">
        <f>IF(COUNTIF(計算!Z78:AQ78,"該当")=0,""," "&amp;COUNTIF(計算!Z78:AQ78,"該当")&amp;"ｶ月該当")</f>
        <v/>
      </c>
      <c r="J29" s="205"/>
      <c r="K29" s="136">
        <v>8</v>
      </c>
      <c r="L29" s="132" t="str">
        <f>IF(H25="","",計算!AD80)</f>
        <v/>
      </c>
      <c r="M29" s="216">
        <v>2</v>
      </c>
      <c r="N29" s="218"/>
    </row>
    <row r="30" spans="2:32" ht="15.95" customHeight="1" thickTop="1" thickBot="1" x14ac:dyDescent="0.2">
      <c r="F30" s="271" t="s">
        <v>195</v>
      </c>
      <c r="G30" s="272"/>
      <c r="H30" s="13" t="str">
        <f>IF(H25="","",SUM(H27:H29))</f>
        <v/>
      </c>
      <c r="K30" s="137">
        <v>9</v>
      </c>
      <c r="L30" s="133" t="str">
        <f>IF(H25="","",計算!AE80)</f>
        <v/>
      </c>
      <c r="M30" s="217">
        <v>3</v>
      </c>
      <c r="N30" s="218"/>
      <c r="O30" s="259"/>
      <c r="P30" s="260"/>
    </row>
    <row r="31" spans="2:32" ht="5.0999999999999996" customHeight="1" thickTop="1" x14ac:dyDescent="0.15"/>
    <row r="32" spans="2:32" ht="13.5" customHeight="1" x14ac:dyDescent="0.15">
      <c r="E32" s="77"/>
      <c r="F32" s="206" t="s">
        <v>194</v>
      </c>
      <c r="J32" s="139"/>
    </row>
    <row r="33" spans="4:17" ht="65.099999999999994" customHeight="1" x14ac:dyDescent="0.15">
      <c r="E33" s="253" t="str">
        <f>IF(計算!L47&lt;&gt;"",計算!L47&amp;"加入期間を別々に入力し計算してください。"&amp;CHAR(10),"")&amp;IF(OR(AND(E16&lt;&gt;"擬　主",G16&gt;8500000),G17&gt;8500000,G18&gt;8500000,G19&gt;8500000,G20&gt;8500000,G21&gt;8500000,G22&gt;8500000,G23&gt;8500000),"※注意！！！　　　給与収入が850万円を超えた人が存在します。"&amp;CHAR(10)&amp;"　 所得金額調整控除が該当となる場合、国保税が高く計算される場合があります。"&amp;CHAR(10),"")&amp;IF(OR(AND(E16="擬　主",K16="該 当")),"※　「擬主」なのに、特例軽減が「該当」になっています。"&amp;CHAR(10),"")&amp;IF(OR(AND(E16&lt;&gt;"擬　主",G16="",K16="該 当"),AND(G17="",K17="該 当"),AND(G18="",K18="該 当"),AND(G19="",K19="該 当"),AND(G20="",K20="該 当"),AND(G21="",K21="該 当"),AND(G22="",K22="該 当"),AND(G23="",K23="該 当")),"※　給与収入が入力されていないのに、特例軽減が「該当」になっているものがあります。"&amp;CHAR(10),"")&amp;IF(OR(AND(E16&lt;&gt;"擬　主",LEFT(O16,1)="6",K16="該 当",Q16&lt;&gt;P16),AND(LEFT(O17,1)="6",K17="該 当",Q17&lt;&gt;P17),AND(LEFT(O18,1)="6",K18="該 当",Q18&lt;&gt;P18),AND(LEFT(O19,1)="6",K19="該 当",Q19&lt;&gt;P19),AND(LEFT(O20,1)="6",K20="該 当",Q20&lt;&gt;P20),AND(LEFT(O21,1)="6",K21="該 当",Q21&lt;&gt;P21),AND(LEFT(O22,1)="6",K22="該 当",Q22&lt;&gt;P22),AND(LEFT(O23,1)="6",K23="該 当",Q23&lt;&gt;P23)),"※　65歳を超えているのに、特例軽減が「該当」になっているものがあります。確認してください。"&amp;CHAR(10),"")</f>
        <v/>
      </c>
      <c r="F33" s="254"/>
      <c r="G33" s="254"/>
      <c r="H33" s="254"/>
      <c r="I33" s="254"/>
      <c r="J33" s="254"/>
      <c r="K33" s="254"/>
      <c r="L33" s="254"/>
      <c r="M33" s="254"/>
      <c r="N33" s="254"/>
      <c r="O33" s="254"/>
      <c r="P33" s="255"/>
      <c r="Q33" s="256"/>
    </row>
    <row r="34" spans="4:17" x14ac:dyDescent="0.15">
      <c r="E34" s="261" t="s">
        <v>80</v>
      </c>
      <c r="F34" s="262"/>
      <c r="G34" s="262"/>
      <c r="H34" s="262"/>
      <c r="I34" s="262"/>
      <c r="J34" s="262"/>
      <c r="K34" s="262"/>
      <c r="L34" s="262"/>
      <c r="M34" s="262"/>
      <c r="N34" s="262"/>
      <c r="O34" s="262"/>
      <c r="P34" s="258"/>
    </row>
    <row r="35" spans="4:17" x14ac:dyDescent="0.15">
      <c r="E35" s="262"/>
      <c r="F35" s="262"/>
      <c r="G35" s="262"/>
      <c r="H35" s="262"/>
      <c r="I35" s="262"/>
      <c r="J35" s="262"/>
      <c r="K35" s="262"/>
      <c r="L35" s="262"/>
      <c r="M35" s="262"/>
      <c r="N35" s="262"/>
      <c r="O35" s="262"/>
      <c r="P35" s="258"/>
    </row>
    <row r="36" spans="4:17" x14ac:dyDescent="0.15">
      <c r="E36" s="262"/>
      <c r="F36" s="262"/>
      <c r="G36" s="262"/>
      <c r="H36" s="262"/>
      <c r="I36" s="262"/>
      <c r="J36" s="262"/>
      <c r="K36" s="262"/>
      <c r="L36" s="262"/>
      <c r="M36" s="262"/>
      <c r="N36" s="262"/>
      <c r="O36" s="262"/>
      <c r="P36" s="258"/>
    </row>
    <row r="37" spans="4:17" ht="24.95" hidden="1" customHeight="1" x14ac:dyDescent="0.15">
      <c r="D37" s="63" t="e">
        <f>"参考：平成"&amp;DBCS(#REF!)&amp;"税率で計算"</f>
        <v>#REF!</v>
      </c>
      <c r="E37" s="64"/>
      <c r="F37" s="65"/>
      <c r="G37" s="65"/>
      <c r="H37" s="65"/>
      <c r="I37" s="65"/>
    </row>
    <row r="38" spans="4:17" ht="17.100000000000001" hidden="1" customHeight="1" x14ac:dyDescent="0.15">
      <c r="D38" s="65"/>
      <c r="E38" s="252"/>
      <c r="F38" s="251"/>
      <c r="G38" s="66" t="s">
        <v>67</v>
      </c>
      <c r="H38" s="67" t="e">
        <f>税率・条件!C1&amp;"-"&amp;#REF!&amp;"年度"</f>
        <v>#REF!</v>
      </c>
      <c r="I38" s="65"/>
    </row>
    <row r="39" spans="4:17" ht="17.100000000000001" hidden="1" customHeight="1" x14ac:dyDescent="0.15">
      <c r="D39" s="65"/>
      <c r="E39" s="250" t="s">
        <v>31</v>
      </c>
      <c r="F39" s="251"/>
      <c r="G39" s="68" t="str">
        <f>IF(H25="","",計算!#REF!)</f>
        <v/>
      </c>
      <c r="H39" s="69" t="str">
        <f>IF(H25="","",H27-G39)</f>
        <v/>
      </c>
      <c r="I39" s="65"/>
    </row>
    <row r="40" spans="4:17" ht="17.100000000000001" hidden="1" customHeight="1" x14ac:dyDescent="0.15">
      <c r="D40" s="65"/>
      <c r="E40" s="250" t="s">
        <v>33</v>
      </c>
      <c r="F40" s="251"/>
      <c r="G40" s="68" t="str">
        <f>IF(H25="","",計算!#REF!)</f>
        <v/>
      </c>
      <c r="H40" s="69" t="str">
        <f>IF(H25="","",H28-G40)</f>
        <v/>
      </c>
      <c r="I40" s="65"/>
    </row>
    <row r="41" spans="4:17" ht="17.100000000000001" hidden="1" customHeight="1" x14ac:dyDescent="0.15">
      <c r="D41" s="65"/>
      <c r="E41" s="250" t="s">
        <v>32</v>
      </c>
      <c r="F41" s="251"/>
      <c r="G41" s="68" t="str">
        <f>IF(H25="","",計算!#REF!)</f>
        <v/>
      </c>
      <c r="H41" s="69" t="str">
        <f>IF(H25="","",H29-G41)</f>
        <v/>
      </c>
      <c r="I41" s="65"/>
    </row>
    <row r="42" spans="4:17" ht="17.100000000000001" hidden="1" customHeight="1" x14ac:dyDescent="0.15">
      <c r="D42" s="65"/>
      <c r="E42" s="250" t="s">
        <v>45</v>
      </c>
      <c r="F42" s="251"/>
      <c r="G42" s="68" t="str">
        <f>IF(H25="","",SUM(G39:G41))</f>
        <v/>
      </c>
      <c r="H42" s="69" t="str">
        <f>IF(H25="","",SUM(H39:H41))</f>
        <v/>
      </c>
      <c r="I42" s="65"/>
    </row>
    <row r="43" spans="4:17" hidden="1" x14ac:dyDescent="0.15">
      <c r="D43" s="65"/>
      <c r="E43" s="65"/>
      <c r="F43" s="65"/>
      <c r="G43" s="65"/>
      <c r="H43" s="65"/>
      <c r="I43" s="65"/>
    </row>
    <row r="48" spans="4:17" x14ac:dyDescent="0.15">
      <c r="E48" s="1" t="str">
        <f>IF(OR(AND(E16&lt;&gt;"擬　主",LEFT(O16,1)="6",K16="該 当",Q16&lt;&gt;12),AND(LEFT(O17,1)="6",K17="該 当",Q17&lt;&gt;12),AND(LEFT(O18,1)="6",K18="該 当",Q18&lt;&gt;12),AND(LEFT(O19,1)="6",K19="該 当",Q19&lt;&gt;12),AND(LEFT(O20,1)="6",K20="該 当",Q20&lt;&gt;12),AND(LEFT(O21,1)="6",K21="該 当",Q21&lt;&gt;12),AND(LEFT(O22,1)="6",K22="該 当",Q22&lt;&gt;12),AND(LEFT(O23,1)="6",K23="該 当",Q23&lt;&gt;12)),"※　65歳を超えているのに、特例軽減が「該当」になっているものがあります。確認してください。"&amp;CHAR(10),"")</f>
        <v/>
      </c>
    </row>
    <row r="55" spans="21:23" x14ac:dyDescent="0.15">
      <c r="U55" s="4"/>
    </row>
    <row r="57" spans="21:23" x14ac:dyDescent="0.15">
      <c r="W57" s="49"/>
    </row>
  </sheetData>
  <sheetProtection password="CC2D" sheet="1" selectLockedCells="1"/>
  <mergeCells count="21">
    <mergeCell ref="E33:Q33"/>
    <mergeCell ref="B12:O12"/>
    <mergeCell ref="O30:P30"/>
    <mergeCell ref="E34:P36"/>
    <mergeCell ref="C19:C21"/>
    <mergeCell ref="B25:B26"/>
    <mergeCell ref="C25:C26"/>
    <mergeCell ref="B16:B17"/>
    <mergeCell ref="C16:C17"/>
    <mergeCell ref="F30:G30"/>
    <mergeCell ref="F27:G27"/>
    <mergeCell ref="F29:G29"/>
    <mergeCell ref="F28:G28"/>
    <mergeCell ref="F25:G25"/>
    <mergeCell ref="F26:G26"/>
    <mergeCell ref="B19:B21"/>
    <mergeCell ref="E39:F39"/>
    <mergeCell ref="E42:F42"/>
    <mergeCell ref="E40:F40"/>
    <mergeCell ref="E41:F41"/>
    <mergeCell ref="E38:F38"/>
  </mergeCells>
  <phoneticPr fontId="2"/>
  <conditionalFormatting sqref="F26:H26">
    <cfRule type="expression" dxfId="115" priority="80" stopIfTrue="1">
      <formula>$F$26="強制軽減該当"</formula>
    </cfRule>
  </conditionalFormatting>
  <conditionalFormatting sqref="B25:C26">
    <cfRule type="expression" dxfId="114" priority="72" stopIfTrue="1">
      <formula>$C$25&lt;&gt;"軽減なし"</formula>
    </cfRule>
  </conditionalFormatting>
  <conditionalFormatting sqref="E34:O36">
    <cfRule type="expression" dxfId="113" priority="70" stopIfTrue="1">
      <formula>$C$25="軽減なし"</formula>
    </cfRule>
    <cfRule type="expression" dxfId="112" priority="71" stopIfTrue="1">
      <formula>$C$25&lt;&gt;"軽減なし"</formula>
    </cfRule>
  </conditionalFormatting>
  <conditionalFormatting sqref="E33:O33">
    <cfRule type="expression" dxfId="111" priority="69">
      <formula>$E$33&lt;&gt;""</formula>
    </cfRule>
  </conditionalFormatting>
  <conditionalFormatting sqref="G16">
    <cfRule type="expression" dxfId="110" priority="58">
      <formula>AND($E$16&lt;&gt;"擬　主",$G$16="",$K$16="該 当")</formula>
    </cfRule>
    <cfRule type="expression" dxfId="109" priority="68">
      <formula>AND($G$16&gt;8500000,$E$16&lt;&gt;"擬　主")</formula>
    </cfRule>
  </conditionalFormatting>
  <conditionalFormatting sqref="G17">
    <cfRule type="expression" dxfId="108" priority="56">
      <formula>AND($G$17="",$K$17="該 当")</formula>
    </cfRule>
    <cfRule type="expression" dxfId="107" priority="67">
      <formula>G17&gt;8500000</formula>
    </cfRule>
  </conditionalFormatting>
  <conditionalFormatting sqref="G18">
    <cfRule type="expression" dxfId="106" priority="49">
      <formula>AND($G$18="",$K$18="該 当")</formula>
    </cfRule>
    <cfRule type="expression" dxfId="105" priority="66">
      <formula>$G$18&gt;8500000</formula>
    </cfRule>
  </conditionalFormatting>
  <conditionalFormatting sqref="G19">
    <cfRule type="expression" dxfId="104" priority="48">
      <formula>AND($G$19="",$K$19="該 当")</formula>
    </cfRule>
    <cfRule type="expression" dxfId="103" priority="65">
      <formula>$G$19&gt;8500000</formula>
    </cfRule>
  </conditionalFormatting>
  <conditionalFormatting sqref="G20">
    <cfRule type="expression" dxfId="102" priority="47">
      <formula>AND($G$20="",$K$20="該 当")</formula>
    </cfRule>
    <cfRule type="expression" dxfId="101" priority="64">
      <formula>$G$20&gt;8500000</formula>
    </cfRule>
  </conditionalFormatting>
  <conditionalFormatting sqref="G21">
    <cfRule type="expression" dxfId="100" priority="46">
      <formula>AND($G$21="",$K$21="該 当")</formula>
    </cfRule>
    <cfRule type="expression" dxfId="99" priority="63">
      <formula>$G$21&gt;8500000</formula>
    </cfRule>
  </conditionalFormatting>
  <conditionalFormatting sqref="G22">
    <cfRule type="expression" dxfId="98" priority="45">
      <formula>AND($G$22="",$K$22="該 当")</formula>
    </cfRule>
    <cfRule type="expression" dxfId="97" priority="62">
      <formula>$G$22&gt;8500000</formula>
    </cfRule>
  </conditionalFormatting>
  <conditionalFormatting sqref="G23">
    <cfRule type="expression" dxfId="96" priority="44">
      <formula>AND($G$23="",$K$23="該 当")</formula>
    </cfRule>
    <cfRule type="expression" dxfId="95" priority="61">
      <formula>$G$23&gt;8500000</formula>
    </cfRule>
  </conditionalFormatting>
  <conditionalFormatting sqref="F16">
    <cfRule type="expression" dxfId="94" priority="9">
      <formula>$F$16=""</formula>
    </cfRule>
    <cfRule type="expression" dxfId="93" priority="27">
      <formula>AND($E$16&lt;&gt;"擬　主",$G$16="",$K$16="該 当")</formula>
    </cfRule>
    <cfRule type="expression" dxfId="92" priority="35">
      <formula>AND($G$16&gt;8500000,$E$16&lt;&gt;"擬　主")</formula>
    </cfRule>
  </conditionalFormatting>
  <conditionalFormatting sqref="F17">
    <cfRule type="expression" dxfId="91" priority="7">
      <formula>AND($E$16="擬　主",$F$17="")</formula>
    </cfRule>
    <cfRule type="expression" dxfId="90" priority="8">
      <formula>AND($G$17="",$K$17="該 当")</formula>
    </cfRule>
    <cfRule type="expression" dxfId="89" priority="26">
      <formula>F17&gt;8500000</formula>
    </cfRule>
    <cfRule type="expression" dxfId="88" priority="34">
      <formula>AND(COUNTA($G$17:$L$17)&gt;0,$F$17="")</formula>
    </cfRule>
  </conditionalFormatting>
  <conditionalFormatting sqref="F18">
    <cfRule type="expression" dxfId="87" priority="6">
      <formula>AND($G$18="",$K$18="該 当")</formula>
    </cfRule>
    <cfRule type="expression" dxfId="86" priority="25">
      <formula>$G$18&gt;8500000</formula>
    </cfRule>
    <cfRule type="expression" dxfId="85" priority="33">
      <formula>AND(COUNTA($G$18:$L$18)&gt;0,$F$18="")</formula>
    </cfRule>
  </conditionalFormatting>
  <conditionalFormatting sqref="F19">
    <cfRule type="expression" dxfId="84" priority="5">
      <formula>AND($G$19="",$K$19="該 当")</formula>
    </cfRule>
    <cfRule type="expression" dxfId="83" priority="24">
      <formula>$G$19&gt;8500000</formula>
    </cfRule>
    <cfRule type="expression" dxfId="82" priority="32">
      <formula>AND(COUNTA($G$19:$L$19)&gt;0,$F$19="")</formula>
    </cfRule>
  </conditionalFormatting>
  <conditionalFormatting sqref="F20">
    <cfRule type="expression" dxfId="81" priority="4">
      <formula>AND($G$20="",$K$20="該 当")</formula>
    </cfRule>
    <cfRule type="expression" dxfId="80" priority="23">
      <formula>$G$20&gt;8500000</formula>
    </cfRule>
    <cfRule type="expression" dxfId="79" priority="31">
      <formula>AND(COUNTA($G$20:$L$20)&gt;0,$F$20="")</formula>
    </cfRule>
  </conditionalFormatting>
  <conditionalFormatting sqref="F21">
    <cfRule type="expression" dxfId="78" priority="3">
      <formula>AND($G$21="",$K$21="該 当")</formula>
    </cfRule>
    <cfRule type="expression" dxfId="77" priority="22">
      <formula>$G$21&gt;8500000</formula>
    </cfRule>
    <cfRule type="expression" dxfId="76" priority="30">
      <formula>AND(COUNTA($G$21:$L$21)&gt;0,$F$21="")</formula>
    </cfRule>
  </conditionalFormatting>
  <conditionalFormatting sqref="F22">
    <cfRule type="expression" dxfId="75" priority="2">
      <formula>AND($G$22="",$K$22="該 当")</formula>
    </cfRule>
    <cfRule type="expression" dxfId="74" priority="21">
      <formula>$G$22&gt;8500000</formula>
    </cfRule>
    <cfRule type="expression" dxfId="73" priority="29">
      <formula>AND(COUNTA($G$22:$L$22)&gt;0,$F$22="")</formula>
    </cfRule>
  </conditionalFormatting>
  <conditionalFormatting sqref="F23">
    <cfRule type="expression" dxfId="72" priority="1">
      <formula>AND($G$23="",$K$23="該 当")</formula>
    </cfRule>
    <cfRule type="expression" dxfId="71" priority="20">
      <formula>$G$23&gt;8500000</formula>
    </cfRule>
    <cfRule type="expression" dxfId="70" priority="28">
      <formula>AND(COUNTA($G$23:$L$23)&gt;0,$F$23="")</formula>
    </cfRule>
  </conditionalFormatting>
  <conditionalFormatting sqref="K17">
    <cfRule type="expression" dxfId="69" priority="103">
      <formula>AND($G$17="",$K$17="該 当")</formula>
    </cfRule>
    <cfRule type="expression" dxfId="68" priority="104">
      <formula>AND(LEFT(O17,1)="6",K17="該 当",Q17&lt;&gt;P17)</formula>
    </cfRule>
  </conditionalFormatting>
  <conditionalFormatting sqref="K18">
    <cfRule type="expression" dxfId="67" priority="105">
      <formula>AND($G$18="",$K$18="該 当")</formula>
    </cfRule>
    <cfRule type="expression" dxfId="66" priority="106">
      <formula>AND(LEFT(O18,1)="6",K18="該 当",Q18&lt;&gt;P18)</formula>
    </cfRule>
  </conditionalFormatting>
  <conditionalFormatting sqref="K19">
    <cfRule type="expression" dxfId="65" priority="107">
      <formula>AND($G$19="",$K$19="該 当")</formula>
    </cfRule>
    <cfRule type="expression" dxfId="64" priority="108">
      <formula>AND(LEFT(O19,1)="6",K19="該 当",Q19&lt;&gt;P19)</formula>
    </cfRule>
  </conditionalFormatting>
  <conditionalFormatting sqref="K20">
    <cfRule type="expression" dxfId="63" priority="109">
      <formula>AND($G$20="",$K$20="該 当")</formula>
    </cfRule>
    <cfRule type="expression" dxfId="62" priority="110">
      <formula>AND(LEFT(O20,1)="6",K20="該 当",Q20&lt;&gt;P20)</formula>
    </cfRule>
  </conditionalFormatting>
  <conditionalFormatting sqref="K21">
    <cfRule type="expression" dxfId="61" priority="111">
      <formula>AND($G$21="",$K$21="該 当")</formula>
    </cfRule>
    <cfRule type="expression" dxfId="60" priority="112">
      <formula>AND(LEFT(O21,1)="6",K21="該 当",Q21&lt;&gt;P21)</formula>
    </cfRule>
  </conditionalFormatting>
  <conditionalFormatting sqref="K22">
    <cfRule type="expression" dxfId="59" priority="113">
      <formula>AND($G$22="",$K$22="該 当")</formula>
    </cfRule>
    <cfRule type="expression" dxfId="58" priority="114">
      <formula>AND(LEFT(O22,1)="6",K22="該 当",Q22&lt;&gt;P22)</formula>
    </cfRule>
  </conditionalFormatting>
  <conditionalFormatting sqref="K23">
    <cfRule type="expression" dxfId="57" priority="115">
      <formula>AND($G$23="",$K$23="該 当")</formula>
    </cfRule>
    <cfRule type="expression" dxfId="56" priority="116">
      <formula>AND(LEFT(O23,1)="6",K23="該 当",Q23&lt;&gt;P23)</formula>
    </cfRule>
  </conditionalFormatting>
  <conditionalFormatting sqref="S16:AD16 AF16">
    <cfRule type="expression" dxfId="55" priority="140">
      <formula>AND($H$25&lt;&gt;"",$C$19="全員申告済み")</formula>
    </cfRule>
  </conditionalFormatting>
  <conditionalFormatting sqref="K16">
    <cfRule type="expression" dxfId="54" priority="199">
      <formula>AND($E$16&lt;&gt;"擬　主",$G$16="",$K$16="該 当")</formula>
    </cfRule>
    <cfRule type="expression" dxfId="53" priority="200">
      <formula>AND($E$16="擬　主",$K$16="該 当")</formula>
    </cfRule>
    <cfRule type="expression" dxfId="52" priority="201">
      <formula>AND(E16&lt;&gt;"擬　主",LEFT(O16,1)="6",K16="該 当",Q16&lt;&gt;P16)</formula>
    </cfRule>
  </conditionalFormatting>
  <dataValidations count="12">
    <dataValidation type="list" allowBlank="1" showInputMessage="1" showErrorMessage="1" sqref="C19:C21">
      <formula1>"全員申告済み,未申告者有り"</formula1>
    </dataValidation>
    <dataValidation showDropDown="1" showErrorMessage="1" sqref="C15"/>
    <dataValidation type="whole" imeMode="off" operator="greaterThanOrEqual" allowBlank="1" showInputMessage="1" showErrorMessage="1" sqref="J16:J23 G16:H23">
      <formula1>1</formula1>
    </dataValidation>
    <dataValidation allowBlank="1" showErrorMessage="1" promptTitle="主区分を選択" prompt="擬主とは、世帯主は社会保険等に加入しているが世帯員が国保に加入している場合に選択してください。" sqref="E16"/>
    <dataValidation type="list" allowBlank="1" showDropDown="1" showInputMessage="1" showErrorMessage="1" sqref="T56">
      <formula1>$T$56:$T$57</formula1>
    </dataValidation>
    <dataValidation type="whole" imeMode="off" operator="notEqual" allowBlank="1" showInputMessage="1" showErrorMessage="1" sqref="I16:I23">
      <formula1>0</formula1>
    </dataValidation>
    <dataValidation type="list" operator="greaterThanOrEqual" allowBlank="1" showInputMessage="1" showErrorMessage="1" prompt="非自発的失業軽減を該当したい場合、「該当」を選択" sqref="K16:K23">
      <formula1>"該 当"</formula1>
    </dataValidation>
    <dataValidation type="list" allowBlank="1" showInputMessage="1" showErrorMessage="1" sqref="C16:C17">
      <formula1>"国　保,社保等"</formula1>
    </dataValidation>
    <dataValidation type="list" allowBlank="1" showInputMessage="1" showErrorMessage="1" sqref="C25:C26">
      <formula1>"軽減なし,1/2軽減,1/4軽減"</formula1>
    </dataValidation>
    <dataValidation type="list" operator="greaterThanOrEqual" allowBlank="1" showInputMessage="1" showErrorMessage="1" promptTitle="年度途中に加入する場合入力" prompt="年度当初から加入する場合は入力不要です。" sqref="L16:L23">
      <formula1>"5,6,7,8,9,10,11,12,1,2,3"</formula1>
    </dataValidation>
    <dataValidation type="date" imeMode="off" operator="greaterThanOrEqual" allowBlank="1" showInputMessage="1" showErrorMessage="1" errorTitle="入力値エラー" error="西暦で入力した場合、年月日は「/」で、_x000a_和暦で入力した場合、年月日は「.」で入力してください。" prompt="和暦もしくは西暦で入力" sqref="F16:F23">
      <formula1>9498</formula1>
    </dataValidation>
    <dataValidation type="list" operator="greaterThanOrEqual" allowBlank="1" showInputMessage="1" showErrorMessage="1" promptTitle="年度途中に脱退する場合入力" prompt="年度末まで加入する場合は入力不要です。" sqref="M16:M23">
      <formula1>"5,6,7,8,9,10,11,12,1,2,3"</formula1>
    </dataValidation>
  </dataValidations>
  <pageMargins left="0.47244094488188981" right="0.43307086614173229" top="1.07" bottom="0.23622047244094491" header="0.51181102362204722" footer="0.15748031496062992"/>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41" id="{EF4AC198-9E4D-4A82-9112-7691B53D16EE}">
            <xm:f>AND($H$25&lt;&gt;"",$C$19="全員申告済み",計算!$AW$6=計算!$AW$20)</xm:f>
            <x14:dxf>
              <fill>
                <patternFill>
                  <bgColor rgb="FFFFFF00"/>
                </patternFill>
              </fill>
            </x14:dxf>
          </x14:cfRule>
          <xm:sqref>S17:AD17 AF17</xm:sqref>
        </x14:conditionalFormatting>
        <x14:conditionalFormatting xmlns:xm="http://schemas.microsoft.com/office/excel/2006/main">
          <x14:cfRule type="expression" priority="142" id="{7ABE5F2A-C8E1-470F-A01C-6E826B9D4624}">
            <xm:f>AND($H$25&lt;&gt;"",$C$19="全員申告済み",計算!$AW$8=計算!$AW$20)</xm:f>
            <x14:dxf>
              <fill>
                <patternFill>
                  <bgColor rgb="FFFFFF00"/>
                </patternFill>
              </fill>
            </x14:dxf>
          </x14:cfRule>
          <xm:sqref>S18:AD18 AF18</xm:sqref>
        </x14:conditionalFormatting>
        <x14:conditionalFormatting xmlns:xm="http://schemas.microsoft.com/office/excel/2006/main">
          <x14:cfRule type="expression" priority="143" id="{E171CAEF-9941-4668-8AB0-E3E2EE1AB4F4}">
            <xm:f>AND($H$25&lt;&gt;"",$C$19="全員申告済み",計算!$AW$10=計算!$AW$20)</xm:f>
            <x14:dxf>
              <fill>
                <patternFill>
                  <bgColor rgb="FFFFFF00"/>
                </patternFill>
              </fill>
            </x14:dxf>
          </x14:cfRule>
          <xm:sqref>S19:AD19 AF19</xm:sqref>
        </x14:conditionalFormatting>
        <x14:conditionalFormatting xmlns:xm="http://schemas.microsoft.com/office/excel/2006/main">
          <x14:cfRule type="expression" priority="144" id="{355D95C7-BDFD-43B8-B900-E55AEC9805F4}">
            <xm:f>AND($H$25&lt;&gt;"",$C$19="全員申告済み",計算!$AW$12=計算!$AW$20)</xm:f>
            <x14:dxf>
              <fill>
                <patternFill>
                  <bgColor rgb="FFFFFF00"/>
                </patternFill>
              </fill>
            </x14:dxf>
          </x14:cfRule>
          <xm:sqref>S20:AD20 AF20</xm:sqref>
        </x14:conditionalFormatting>
        <x14:conditionalFormatting xmlns:xm="http://schemas.microsoft.com/office/excel/2006/main">
          <x14:cfRule type="expression" priority="145" id="{C4A5917F-5744-47DB-A1ED-7CD9271B72B5}">
            <xm:f>AND($H$25&lt;&gt;"",$C$19="全員申告済み",計算!$AW$14=計算!$AW$20)</xm:f>
            <x14:dxf>
              <fill>
                <patternFill>
                  <bgColor rgb="FFFFFF00"/>
                </patternFill>
              </fill>
            </x14:dxf>
          </x14:cfRule>
          <xm:sqref>S21:AD21 AF21</xm:sqref>
        </x14:conditionalFormatting>
        <x14:conditionalFormatting xmlns:xm="http://schemas.microsoft.com/office/excel/2006/main">
          <x14:cfRule type="expression" priority="146" id="{DC9BF972-5572-4B28-B17A-452294725B9F}">
            <xm:f>AND($H$25&lt;&gt;"",$C$19="全員申告済み",計算!$AW$16=計算!$AW$20)</xm:f>
            <x14:dxf>
              <fill>
                <patternFill>
                  <bgColor rgb="FFFFFF00"/>
                </patternFill>
              </fill>
            </x14:dxf>
          </x14:cfRule>
          <xm:sqref>S22:AD22 AF22</xm:sqref>
        </x14:conditionalFormatting>
        <x14:conditionalFormatting xmlns:xm="http://schemas.microsoft.com/office/excel/2006/main">
          <x14:cfRule type="expression" priority="147" id="{307821EE-06AD-4DAF-A0CC-A2ACA26D40F7}">
            <xm:f>AND($H$25&lt;&gt;"",$C$19="全員申告済み",計算!$AW$18=計算!$AW$20)</xm:f>
            <x14:dxf>
              <fill>
                <patternFill>
                  <bgColor rgb="FFFFFF00"/>
                </patternFill>
              </fill>
            </x14:dxf>
          </x14:cfRule>
          <xm:sqref>S23:AD23 AF23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N109"/>
  <sheetViews>
    <sheetView zoomScale="75" zoomScaleNormal="75" zoomScaleSheetLayoutView="80" workbookViewId="0"/>
  </sheetViews>
  <sheetFormatPr defaultRowHeight="13.5" x14ac:dyDescent="0.15"/>
  <cols>
    <col min="1" max="1" width="3.375" style="1" customWidth="1"/>
    <col min="2" max="2" width="9" style="1" customWidth="1"/>
    <col min="3" max="3" width="9.375" style="1" customWidth="1"/>
    <col min="4" max="4" width="10.625" style="1" customWidth="1"/>
    <col min="5" max="5" width="10.125" style="1" customWidth="1"/>
    <col min="6" max="6" width="12.375" style="1" customWidth="1"/>
    <col min="7" max="7" width="11.875" style="1" customWidth="1"/>
    <col min="8" max="8" width="11.375" style="1" customWidth="1"/>
    <col min="9" max="11" width="11.25" style="1" customWidth="1"/>
    <col min="12" max="14" width="12.125" style="1" customWidth="1"/>
    <col min="15" max="15" width="10.25" style="1" customWidth="1"/>
    <col min="16" max="16" width="10" style="1" customWidth="1"/>
    <col min="17" max="17" width="9.75" style="1" customWidth="1"/>
    <col min="18" max="19" width="5.625" style="1" customWidth="1"/>
    <col min="20" max="20" width="10.25" style="1" customWidth="1"/>
    <col min="21" max="24" width="8.625" style="1" customWidth="1"/>
    <col min="25" max="25" width="10.25" style="1" customWidth="1"/>
    <col min="26" max="29" width="8.625" style="1" customWidth="1"/>
    <col min="30" max="30" width="10.25" style="1" customWidth="1"/>
    <col min="31" max="34" width="8.625" style="1" customWidth="1"/>
    <col min="35" max="44" width="3.125" style="1" customWidth="1"/>
    <col min="45" max="47" width="3.25" style="1" customWidth="1"/>
    <col min="48" max="48" width="3.75" style="1" customWidth="1"/>
    <col min="49" max="49" width="6.125" style="1" customWidth="1"/>
    <col min="50" max="50" width="9" style="1"/>
    <col min="51" max="51" width="14" style="1" customWidth="1"/>
    <col min="52" max="63" width="10.625" style="1" customWidth="1"/>
    <col min="64" max="64" width="12.125" style="1" bestFit="1" customWidth="1"/>
    <col min="65" max="65" width="13.25" style="1" bestFit="1" customWidth="1"/>
    <col min="66" max="16384" width="9" style="1"/>
  </cols>
  <sheetData>
    <row r="1" spans="1:65" ht="23.25" customHeight="1" thickBot="1" x14ac:dyDescent="0.2">
      <c r="A1" s="1" t="s">
        <v>107</v>
      </c>
      <c r="T1" s="164" t="str">
        <f>"令和"&amp;DBCS(税率・条件!C1)&amp;"年度税率で計算（加入者全員が年間加入の場合で計算。端数調整前。）"</f>
        <v>令和６年度税率で計算（加入者全員が年間加入の場合で計算。端数調整前。）</v>
      </c>
      <c r="AY1" s="164" t="s">
        <v>190</v>
      </c>
    </row>
    <row r="2" spans="1:65" ht="23.25" customHeight="1" thickTop="1" x14ac:dyDescent="0.15">
      <c r="A2" s="387"/>
      <c r="B2" s="387" t="s">
        <v>49</v>
      </c>
      <c r="C2" s="329" t="s">
        <v>50</v>
      </c>
      <c r="D2" s="330"/>
      <c r="E2" s="330"/>
      <c r="F2" s="330"/>
      <c r="G2" s="330"/>
      <c r="H2" s="331"/>
      <c r="I2" s="397" t="s">
        <v>51</v>
      </c>
      <c r="J2" s="330"/>
      <c r="K2" s="330"/>
      <c r="L2" s="331"/>
      <c r="M2" s="400" t="s">
        <v>8</v>
      </c>
      <c r="N2" s="408" t="s">
        <v>17</v>
      </c>
      <c r="O2" s="406" t="s">
        <v>93</v>
      </c>
      <c r="P2" s="404" t="s">
        <v>23</v>
      </c>
      <c r="Q2" s="402" t="s">
        <v>100</v>
      </c>
      <c r="R2" s="398" t="s">
        <v>96</v>
      </c>
      <c r="S2" s="305" t="s">
        <v>144</v>
      </c>
      <c r="T2" s="410" t="s">
        <v>4</v>
      </c>
      <c r="U2" s="396"/>
      <c r="V2" s="396"/>
      <c r="W2" s="396"/>
      <c r="X2" s="302"/>
      <c r="Y2" s="395" t="s">
        <v>28</v>
      </c>
      <c r="Z2" s="396"/>
      <c r="AA2" s="396"/>
      <c r="AB2" s="396"/>
      <c r="AC2" s="302"/>
      <c r="AD2" s="395" t="s">
        <v>5</v>
      </c>
      <c r="AE2" s="396"/>
      <c r="AF2" s="396"/>
      <c r="AG2" s="396"/>
      <c r="AH2" s="302"/>
      <c r="AI2" s="329" t="s">
        <v>104</v>
      </c>
      <c r="AJ2" s="330"/>
      <c r="AK2" s="330"/>
      <c r="AL2" s="330"/>
      <c r="AM2" s="330"/>
      <c r="AN2" s="330"/>
      <c r="AO2" s="330"/>
      <c r="AP2" s="330"/>
      <c r="AQ2" s="330"/>
      <c r="AR2" s="330"/>
      <c r="AS2" s="330"/>
      <c r="AT2" s="330"/>
      <c r="AU2" s="331"/>
      <c r="AW2" s="323" t="s">
        <v>137</v>
      </c>
      <c r="AY2" s="1" t="s">
        <v>187</v>
      </c>
    </row>
    <row r="3" spans="1:65" ht="40.5" customHeight="1" thickBot="1" x14ac:dyDescent="0.2">
      <c r="A3" s="388"/>
      <c r="B3" s="388"/>
      <c r="C3" s="92" t="s">
        <v>94</v>
      </c>
      <c r="D3" s="88" t="s">
        <v>15</v>
      </c>
      <c r="E3" s="93" t="s">
        <v>95</v>
      </c>
      <c r="F3" s="46" t="s">
        <v>92</v>
      </c>
      <c r="G3" s="102" t="s">
        <v>110</v>
      </c>
      <c r="H3" s="103" t="s">
        <v>108</v>
      </c>
      <c r="I3" s="87" t="s">
        <v>13</v>
      </c>
      <c r="J3" s="88" t="s">
        <v>20</v>
      </c>
      <c r="K3" s="88" t="s">
        <v>16</v>
      </c>
      <c r="L3" s="104" t="s">
        <v>109</v>
      </c>
      <c r="M3" s="401"/>
      <c r="N3" s="409"/>
      <c r="O3" s="407"/>
      <c r="P3" s="405"/>
      <c r="Q3" s="403"/>
      <c r="R3" s="399"/>
      <c r="S3" s="306"/>
      <c r="T3" s="141" t="s">
        <v>24</v>
      </c>
      <c r="U3" s="100" t="s">
        <v>25</v>
      </c>
      <c r="V3" s="100" t="s">
        <v>26</v>
      </c>
      <c r="W3" s="100" t="s">
        <v>27</v>
      </c>
      <c r="X3" s="101" t="s">
        <v>36</v>
      </c>
      <c r="Y3" s="99" t="s">
        <v>24</v>
      </c>
      <c r="Z3" s="100" t="s">
        <v>25</v>
      </c>
      <c r="AA3" s="100" t="s">
        <v>26</v>
      </c>
      <c r="AB3" s="100" t="s">
        <v>27</v>
      </c>
      <c r="AC3" s="101" t="s">
        <v>36</v>
      </c>
      <c r="AD3" s="99" t="s">
        <v>24</v>
      </c>
      <c r="AE3" s="100" t="s">
        <v>25</v>
      </c>
      <c r="AF3" s="100" t="s">
        <v>26</v>
      </c>
      <c r="AG3" s="100" t="s">
        <v>27</v>
      </c>
      <c r="AH3" s="101" t="s">
        <v>36</v>
      </c>
      <c r="AI3" s="87" t="s">
        <v>105</v>
      </c>
      <c r="AJ3" s="88">
        <v>4</v>
      </c>
      <c r="AK3" s="88">
        <v>5</v>
      </c>
      <c r="AL3" s="88">
        <v>6</v>
      </c>
      <c r="AM3" s="88">
        <v>7</v>
      </c>
      <c r="AN3" s="88">
        <v>8</v>
      </c>
      <c r="AO3" s="88">
        <v>9</v>
      </c>
      <c r="AP3" s="88">
        <v>10</v>
      </c>
      <c r="AQ3" s="88">
        <v>11</v>
      </c>
      <c r="AR3" s="88">
        <v>12</v>
      </c>
      <c r="AS3" s="88">
        <v>1</v>
      </c>
      <c r="AT3" s="88">
        <v>2</v>
      </c>
      <c r="AU3" s="89">
        <v>3</v>
      </c>
      <c r="AW3" s="324"/>
      <c r="AY3" s="175"/>
      <c r="AZ3" s="176">
        <v>4</v>
      </c>
      <c r="BA3" s="176">
        <v>5</v>
      </c>
      <c r="BB3" s="176">
        <v>6</v>
      </c>
      <c r="BC3" s="176">
        <v>7</v>
      </c>
      <c r="BD3" s="176">
        <v>8</v>
      </c>
      <c r="BE3" s="176">
        <v>9</v>
      </c>
      <c r="BF3" s="176">
        <v>10</v>
      </c>
      <c r="BG3" s="176">
        <v>11</v>
      </c>
      <c r="BH3" s="176">
        <v>12</v>
      </c>
      <c r="BI3" s="176">
        <v>1</v>
      </c>
      <c r="BJ3" s="176">
        <v>2</v>
      </c>
      <c r="BK3" s="176">
        <v>3</v>
      </c>
      <c r="BL3" s="177" t="s">
        <v>184</v>
      </c>
      <c r="BM3" s="177" t="s">
        <v>185</v>
      </c>
    </row>
    <row r="4" spans="1:65" ht="18.95" customHeight="1" x14ac:dyDescent="0.15">
      <c r="A4" s="357" t="str">
        <f>IF(LEFT(入力!E16,1)="世","主",LEFT(入力!E16,1))</f>
        <v>1</v>
      </c>
      <c r="B4" s="393" t="str">
        <f>IF(入力!F16="","",IF(入力!F16&lt;=DATE(税率・条件!C1+1953,1,1),"65歳以上",IF(入力!F16&gt;DATE(税率・条件!C1+2012,4,1),"未就学","一般")))</f>
        <v/>
      </c>
      <c r="C4" s="359" t="str">
        <f>IF(D4="","",IF(AND(入力!E16&lt;&gt;"擬　主",入力!K16="該 当"),"該当","非該当"))</f>
        <v/>
      </c>
      <c r="D4" s="336" t="str">
        <f>IF(入力!G16="","",ROUNDDOWN(VLOOKUP(入力!G16,$B$24:$J$35,2,1)*IF(AND(入力!E16&lt;&gt;"擬　主",入力!K16="該 当"),0.3,1),0))</f>
        <v/>
      </c>
      <c r="E4" s="336" t="str">
        <f>IF(D4="","",IF(OR(D4="",K4=""),0,IF(D4+K4&lt;100000,0,IF(D4&lt;100000,D4,100000)+IF(K4&lt;100000,K4,100000)-100000)))</f>
        <v/>
      </c>
      <c r="F4" s="336" t="str">
        <f>IF(D4="","",D4-E4)</f>
        <v/>
      </c>
      <c r="G4" s="350" t="str">
        <f>IF(D4="","",IF(OR(D4="",L4=""),0,IF(D4+L4&lt;100000,0,IF(D4&lt;100000,D4,100000)+IF(L4&lt;100000,L4,100000)-100000)))</f>
        <v/>
      </c>
      <c r="H4" s="348" t="str">
        <f>IF(D4="","",D4-G4)</f>
        <v/>
      </c>
      <c r="I4" s="335" t="str">
        <f>IF(入力!H16="","",IF(B4="65歳以上",VLOOKUP(入力!H16,$B$48:$D$52,2,1),VLOOKUP(入力!H16,$B$40:$D$44,2,1)))</f>
        <v/>
      </c>
      <c r="J4" s="336" t="str">
        <f>IF(I4="","",IF(B4="65歳以上",VLOOKUP(入力!H16,$B$48:$D$52,3,1),VLOOKUP(入力!H16,$B$40:$D$44,3,1)))</f>
        <v/>
      </c>
      <c r="K4" s="336" t="str">
        <f>IF(I4="","",IF(入力!H16*計算!I4/100-計算!J4&lt;0,0,ROUNDDOWN(入力!H16*計算!I4/100-計算!J4,0)))</f>
        <v/>
      </c>
      <c r="L4" s="348" t="str">
        <f>IF(K4="","",IF(B4="65歳以上",IF(K4&lt;税率・条件!$G$9,0,K4-税率・条件!$G$9),K4))</f>
        <v/>
      </c>
      <c r="M4" s="346" t="str">
        <f>IF(入力!I16="","",入力!I16)</f>
        <v/>
      </c>
      <c r="N4" s="335" t="str">
        <f>IF(入力!F16="","",SUM(F4,K4,M4))</f>
        <v/>
      </c>
      <c r="O4" s="336" t="str">
        <f>IF(入力!F16="","",IF(入力!P16&lt;&gt;"",IF(計算!N4-430000&gt;0,計算!N4-430000,0),""))</f>
        <v/>
      </c>
      <c r="P4" s="337" t="str">
        <f>IF(入力!F16="","",IF(入力!Q16&lt;&gt;"",IF(計算!N4-430000&gt;0,計算!N4-430000,0),""))</f>
        <v/>
      </c>
      <c r="Q4" s="339" t="str">
        <f>IF(N4="","",SUM(H4,L4,M4))</f>
        <v/>
      </c>
      <c r="R4" s="341" t="str">
        <f>IF(AND(D4="",K4=""),"",IF(OR(入力!G16&gt;550000,AND(B4="65歳以上",入力!H16&gt;1250000),AND(B4&lt;&gt;"65歳以上",入力!H16&gt;600000)),1,""))</f>
        <v/>
      </c>
      <c r="S4" s="307" t="str">
        <f>IF(N4="","",IF(AND(入力!$H$25&lt;&gt;"",入力!$C$19="全員申告済み",$AW$4=$AW$20),"該当",""))</f>
        <v/>
      </c>
      <c r="T4" s="332" t="str">
        <f>IF($O4="","",ROUNDDOWN($O4*税率・条件!$C$4/100,0))</f>
        <v/>
      </c>
      <c r="U4" s="310" t="str">
        <f>IF(入力!$P16="","",ROUNDDOWN(入力!$J16*税率・条件!$C$5/100,0))</f>
        <v/>
      </c>
      <c r="V4" s="310" t="str">
        <f>IF(入力!$P16="","",ROUNDDOWN(税率・条件!$C$6*(100%-IF(B4="未就学",税率・条件!$H$11,0%))*(100%-$M$34),0))</f>
        <v/>
      </c>
      <c r="W4" s="310" t="str">
        <f>IF(COUNT(入力!$P$16:$P$23)&gt;0,ROUNDDOWN(税率・条件!$C$7*(100%-$M$34)*IF(入力!$C$25="1/2軽減",0.5,IF(入力!$C$25="1/4軽減",0.75,1)),0),"")</f>
        <v/>
      </c>
      <c r="X4" s="315" t="str">
        <f>IF(SUM(T4:W4)&gt;0,SUM(T4:W4),"")</f>
        <v/>
      </c>
      <c r="Y4" s="313" t="str">
        <f>IF($O4="","",ROUNDDOWN($O4*税率・条件!$C$9/100,0))</f>
        <v/>
      </c>
      <c r="Z4" s="310" t="str">
        <f>IF(入力!$P16="","",ROUNDDOWN(入力!$J16*税率・条件!$C$10/100,0))</f>
        <v/>
      </c>
      <c r="AA4" s="310" t="str">
        <f>IF(入力!$P16="","",ROUNDDOWN(税率・条件!$C$11*(100%-IF(B4="未就学",税率・条件!$H$11,0%))*(100%-$M$34),0))</f>
        <v/>
      </c>
      <c r="AB4" s="310" t="str">
        <f>IF(COUNT(入力!$P$16:$P$23)&gt;0,ROUNDDOWN(税率・条件!$C$12*(100%-$M$34)*IF(入力!$C$25="1/2軽減",0.5,IF(入力!$C$25="1/4軽減",0.75,1)),0),"")</f>
        <v/>
      </c>
      <c r="AC4" s="315" t="str">
        <f>IF(SUM(Y4:AB4)&gt;0,SUM(Y4:AB4),"")</f>
        <v/>
      </c>
      <c r="AD4" s="313" t="str">
        <f>IF($P4="","",ROUNDDOWN($P4*税率・条件!$C$14/100,0))</f>
        <v/>
      </c>
      <c r="AE4" s="310" t="str">
        <f>IF(入力!$Q16="","",ROUNDDOWN(入力!$J16*税率・条件!$C$15/100,0))</f>
        <v/>
      </c>
      <c r="AF4" s="310" t="str">
        <f>IF(入力!$Q16="","",ROUNDDOWN(税率・条件!$C$16*(100%-$M$34),0))</f>
        <v/>
      </c>
      <c r="AG4" s="310" t="str">
        <f>IF(COUNT(入力!$Q$16:$Q$23)&gt;0,ROUNDDOWN(税率・条件!$C$17*(100%-$M$34),0),"")</f>
        <v/>
      </c>
      <c r="AH4" s="315" t="str">
        <f>IF(SUM(AD4:AG4)&gt;0,SUM(AD4:AG4),"")</f>
        <v/>
      </c>
      <c r="AI4" s="107" t="str">
        <f>IF(入力!$F$16="","",IF(入力!C16="社保等","",COUNTIF(AJ4:AU4,"●")))</f>
        <v/>
      </c>
      <c r="AJ4" s="117" t="str">
        <f>IF(入力!$F$16="","",IF(入力!C16="社保等","",IF(入力!$F$16&gt;=DATE(税率・条件!$C$1+2018,計算!AJ$3+1,1),"",IF(入力!$F$16&gt;=DATE(税率・条件!$C$1+2018-75,計算!AJ$3+1,1),IF(OR(AND(入力!L16="",OR(入力!M16="",入力!M16&gt;4,入力!M16&lt;4)),AND(入力!L16=4,OR(入力!M16="",入力!M16&gt;4,入力!M16&lt;4))),"●",""),""))))</f>
        <v/>
      </c>
      <c r="AK4" s="117" t="str">
        <f>IF(入力!$F$16="","",IF(入力!C16="社保等","",IF(入力!$F$16&gt;=DATE(税率・条件!$C$1+2018,計算!AK$3+1,1),"",IF(入力!$F$16&gt;=DATE(税率・条件!$C$1+2018-75,計算!AK$3+1,1),IF(OR(AND(入力!L16="",OR(入力!M16="",入力!M16&gt;5,入力!M16&lt;4)),AND(入力!L16=4,OR(入力!M16="",入力!M16&gt;5,入力!M16&lt;4)),AND(入力!L16=5,OR(入力!M16="",入力!M16&gt;5,入力!M16&lt;4))),"●",""),""))))</f>
        <v/>
      </c>
      <c r="AL4" s="117" t="str">
        <f>IF(入力!$F$16="","",IF(入力!C16="社保等","",IF(入力!$F$16&gt;=DATE(税率・条件!$C$1+2018,計算!AL$3+1,1),"",IF(入力!$F$16&gt;=DATE(税率・条件!$C$1+2018-75,計算!AL$3+1,1),IF(OR(AND(入力!L16="",OR(入力!M16="",入力!M16&gt;6,入力!M16&lt;4)),AND(入力!L16=4,OR(入力!M16="",入力!M16&gt;6,入力!M16&lt;4)),AND(入力!L16=5,OR(入力!M16="",入力!M16&gt;6,入力!M16&lt;4)),AND(入力!L16=6,OR(入力!M16="",入力!M16&gt;6,入力!M16&lt;4))),"●",""),""))))</f>
        <v/>
      </c>
      <c r="AM4" s="117" t="str">
        <f>IF(入力!$F$16="","",IF(入力!C16="社保等","",IF(入力!$F$16&gt;=DATE(税率・条件!$C$1+2018,計算!AM$3+1,1),"",IF(入力!$F$16&gt;=DATE(税率・条件!$C$1+2018-75,計算!AM$3+1,1),IF(OR(AND(入力!L16="",OR(入力!M16="",入力!M16&gt;7,入力!M16&lt;4)),AND(入力!L16=4,OR(入力!M16="",入力!M16&gt;7,入力!M16&lt;4)),AND(入力!L16=5,OR(入力!M16="",入力!M16&gt;7,入力!M16&lt;4)),AND(入力!L16=6,OR(入力!M16="",入力!M16&gt;7,入力!M16&lt;4)),AND(入力!L16=7,OR(入力!M16="",入力!M16&gt;7,入力!M16&lt;4))),"●",""),""))))</f>
        <v/>
      </c>
      <c r="AN4" s="117" t="str">
        <f>IF(入力!$F$16="","",IF(入力!C16="社保等","",IF(入力!$F$16&gt;=DATE(税率・条件!$C$1+2018,計算!AN$3+1,1),"",IF(入力!$F$16&gt;=DATE(税率・条件!$C$1+2018-75,計算!AN$3+1,1),IF(OR(AND(入力!L16="",OR(入力!M16="",入力!M16&gt;8,入力!M16&lt;4)),AND(入力!L16=4,OR(入力!M16="",入力!M16&gt;8,入力!M16&lt;4)),AND(入力!L16=5,OR(入力!M16="",入力!M16&gt;8,入力!M16&lt;4)),AND(入力!L16=6,OR(入力!M16="",入力!M16&gt;8,入力!M16&lt;4)),AND(入力!L16=7,OR(入力!M16="",入力!M16&gt;8,入力!M16&lt;4)),AND(入力!L16=8,OR(入力!M16="",入力!M16&gt;8,入力!M16&lt;4))),"●",""),""))))</f>
        <v/>
      </c>
      <c r="AO4" s="117" t="str">
        <f>IF(入力!$F$16="","",IF(入力!C16="社保等","",IF(入力!$F$16&gt;=DATE(税率・条件!$C$1+2018,計算!AO$3+1,1),"",IF(入力!$F$16&gt;=DATE(税率・条件!$C$1+2018-75,計算!AO$3+1,1),IF(OR(AND(入力!L16="",OR(入力!M16="",入力!M16&gt;9,入力!M16&lt;4)),AND(入力!L16=4,OR(入力!M16="",入力!M16&gt;9,入力!M16&lt;4)),AND(入力!L16=5,OR(入力!M16="",入力!M16&gt;9,入力!M16&lt;4)),AND(入力!L16=6,OR(入力!M16="",入力!M16&gt;9,入力!M16&lt;4)),AND(入力!L16=7,OR(入力!M16="",入力!M16&gt;9,入力!M16&lt;4)),AND(入力!L16=8,OR(入力!M16="",入力!M16&gt;9,入力!M16&lt;4)),AND(入力!L16=9,OR(入力!M16="",入力!M16&gt;9,入力!M16&lt;4))),"●",""),""))))</f>
        <v/>
      </c>
      <c r="AP4" s="117" t="str">
        <f>IF(入力!$F$16="","",IF(入力!C16="社保等","",IF(入力!$F$16&gt;=DATE(税率・条件!$C$1+2018,計算!AP$3+1,1),"",IF(入力!$F$16&gt;=DATE(税率・条件!$C$1+2018-75,計算!AP$3+1,1),IF(OR(AND(入力!L16="",OR(入力!M16="",入力!M16&gt;10,入力!M16&lt;4)),AND(入力!L16=4,OR(入力!M16="",入力!M16&gt;10,入力!M16&lt;4)),AND(入力!L16=5,OR(入力!M16="",入力!M16&gt;10,入力!M16&lt;4)),AND(入力!L16=6,OR(入力!M16="",入力!M16&gt;10,入力!M16&lt;4)),AND(入力!L16=7,OR(入力!M16="",入力!M16&gt;10,入力!M16&lt;4)),AND(入力!L16=8,OR(入力!M16="",入力!M16&gt;10,入力!M16&lt;4)),AND(入力!L16=9,OR(入力!M16="",入力!M16&gt;10,入力!M16&lt;4)),AND(入力!L16=10,OR(入力!M16="",入力!M16&gt;10,入力!M16&lt;4))),"●",""),""))))</f>
        <v/>
      </c>
      <c r="AQ4" s="117" t="str">
        <f>IF(入力!$F$16="","",IF(入力!C16="社保等","",IF(入力!$F$16&gt;=DATE(税率・条件!$C$1+2018,計算!AQ$3+1,1),"",IF(入力!$F$16&gt;=DATE(税率・条件!$C$1+2018-75,計算!AQ$3+1,1),IF(OR(AND(入力!L16="",OR(入力!M16="",入力!M16&gt;11,入力!M16&lt;4)),AND(入力!L16=4,OR(入力!M16="",入力!M16&gt;11,入力!M16&lt;4)),AND(入力!L16=5,OR(入力!M16="",入力!M16&gt;11,入力!M16&lt;4)),AND(入力!L16=6,OR(入力!M16="",入力!M16&gt;11,入力!M16&lt;4)),AND(入力!L16=7,OR(入力!M16="",入力!M16&gt;11,入力!M16&lt;4)),AND(入力!L16=8,OR(入力!M16="",入力!M16&gt;11,入力!M16&lt;4)),AND(入力!L16=9,OR(入力!M16="",入力!M16&gt;11,入力!M16&lt;4)),AND(入力!L16=10,OR(入力!M16="",入力!M16&gt;11,入力!M16&lt;4)),AND(入力!L16=11,OR(入力!M16="",入力!M16&gt;11,入力!M16&lt;4))),"●",""),""))))</f>
        <v/>
      </c>
      <c r="AR4" s="117" t="str">
        <f>IF(入力!$F$16="","",IF(入力!C16="社保等","",IF(入力!$F$16&gt;=DATE(税率・条件!$C$1+2018,計算!AR$3+1,1),"",IF(入力!$F$16&gt;=DATE(税率・条件!$C$1+2018-75,計算!AR$3+1,1),IF(OR(AND(入力!L16="",OR(入力!M16="",入力!M16&gt;12,入力!M16&lt;4)),AND(入力!L16=4,OR(入力!M16="",入力!M16&gt;12,入力!M16&lt;4)),AND(入力!L16=5,OR(入力!M16="",入力!M16&gt;12,入力!M16&lt;4)),AND(入力!L16=6,OR(入力!M16="",入力!M16&gt;12,入力!M16&lt;4)),AND(入力!L16=7,OR(入力!M16="",入力!M16&gt;12,入力!M16&lt;4)),AND(入力!L16=8,OR(入力!M16="",入力!M16&gt;12,入力!M16&lt;4)),AND(入力!L16=9,OR(入力!M16="",入力!M16&gt;12,入力!M16&lt;4)),AND(入力!L16=10,OR(入力!M16="",入力!M16&gt;12,入力!M16&lt;4)),AND(入力!L16=11,OR(入力!M16="",入力!M16&gt;12,入力!M16&lt;4)),AND(入力!L16=12,OR(入力!M16="",入力!M16&gt;12,入力!M16&lt;4))),"●",""),""))))</f>
        <v/>
      </c>
      <c r="AS4" s="117" t="str">
        <f>IF(入力!$F$16="","",IF(入力!C16="社保等","",IF(入力!$F$16&gt;=DATE(税率・条件!$C$1+2019,計算!AS$3+1,1),"",IF(入力!$F$16&gt;=DATE(税率・条件!$C$1+2019-75,計算!AS$3+1,1),IF(OR(AND(入力!L16="",OR(入力!M16="",入力!M16=2,入力!M16=3)),AND(入力!L16=4,OR(入力!M16="",入力!M16=2,入力!M16=3)),AND(入力!L16=5,OR(入力!M16="",入力!M16=2,入力!M16=3)),AND(入力!L16=6,OR(入力!M16="",入力!M16=2,入力!M16=3)),AND(入力!L16=7,OR(入力!M16="",入力!M16=2,入力!M16=3)),AND(入力!L16=8,OR(入力!M16="",入力!M16=2,入力!M16=3)),AND(入力!L16=9,OR(入力!M16="",入力!M16=2,入力!M16=3)),AND(入力!L16=10,OR(入力!M16="",入力!M16=2,入力!M16=3)),AND(入力!L16=11,OR(入力!M16="",入力!M16=2,入力!M16=3)),AND(入力!L16=12,OR(入力!M16="",入力!M16=2,入力!M16=3)),AND(入力!L16=1,OR(入力!M16="",入力!M16=2,入力!M16=3))),"●",""),""))))</f>
        <v/>
      </c>
      <c r="AT4" s="117" t="str">
        <f>IF(入力!$F$16="","",IF(入力!C16="社保等","",IF(入力!$F$16&gt;=DATE(税率・条件!$C$1+2019,計算!AT$3+1,1),"",IF(入力!$F$16&gt;=DATE(税率・条件!$C$1+2019-75,計算!AT$3+1,1),IF(OR(AND(入力!L16="",OR(入力!M16="",入力!M16=3)),AND(入力!L16=4,OR(入力!M16="",入力!M16=3)),AND(入力!L16=5,OR(入力!M16="",入力!M16=3)),AND(入力!L16=6,OR(入力!M16="",入力!M16=3)),AND(入力!L16=7,OR(入力!M16="",入力!M16=3)),AND(入力!L16=8,OR(入力!M16="",入力!M16=3)),AND(入力!L16=9,OR(入力!M16="",入力!M16=3)),AND(入力!L16=10,OR(入力!M16="",入力!M16=3)),AND(入力!L16=11,OR(入力!M16="",入力!M16=3)),AND(入力!L16=12,OR(入力!M16="",入力!M16=3)),AND(入力!L16=1,OR(入力!M16="",入力!M16=3)),AND(入力!L16=2,OR(入力!M16="",入力!M16=3))),"●",""),""))))</f>
        <v/>
      </c>
      <c r="AU4" s="118" t="str">
        <f>IF(入力!$F$16="","",IF(入力!C16="社保等","",IF(入力!$F$16&gt;=DATE(税率・条件!$C$1+2019,計算!AU$3+1,1),"",IF(入力!$F$16&gt;=DATE(税率・条件!$C$1+2019-75,計算!AU$3+1,1),IF(OR(AND(入力!L16="",入力!M16=""),AND(入力!L16=4,入力!M16=""),AND(入力!L16=5,入力!M16=""),AND(入力!L16=6,入力!M16=""),AND(入力!L16=7,入力!M16=""),AND(入力!L16=8,入力!M16=""),AND(入力!L16=9,入力!M16=""),AND(入力!L16=10,入力!M16=""),AND(入力!L16=11,入力!M16=""),AND(入力!L16=12,入力!M16=""),AND(入力!L16=1,入力!M16=""),AND(入力!L16=2,入力!M16=""),AND(入力!L16=3,入力!M16="")),"●",""),""))))</f>
        <v/>
      </c>
      <c r="AW4" s="116" t="str">
        <f>AW20</f>
        <v/>
      </c>
      <c r="AY4" s="178" t="s">
        <v>172</v>
      </c>
      <c r="AZ4" s="179">
        <f>ROUND(ROUNDDOWN((IF(AJ$4="",0,$O4)+IF(AJ$6="",0,$O6)+IF(AJ$8="",0,$O8)+IF(AJ$10="",0,$O10)+IF(AJ$12="",0,$O12)+IF(AJ$14="",0,$O14)+IF(AJ$16="",0,$O16)+IF(AJ$18="",0,$O18))*税率・条件!$C$4/100,0)/12,2)</f>
        <v>0</v>
      </c>
      <c r="BA4" s="179">
        <f>ROUND(ROUNDDOWN((IF(AK$4="",0,$O4)+IF(AK$6="",0,$O6)+IF(AK$8="",0,$O8)+IF(AK$10="",0,$O10)+IF(AK$12="",0,$O12)+IF(AK$14="",0,$O14)+IF(AK$16="",0,$O16)+IF(AK$18="",0,$O18))*税率・条件!$C$4/100,0)/12,2)</f>
        <v>0</v>
      </c>
      <c r="BB4" s="179">
        <f>ROUND(ROUNDDOWN((IF(AL$4="",0,$O4)+IF(AL$6="",0,$O6)+IF(AL$8="",0,$O8)+IF(AL$10="",0,$O10)+IF(AL$12="",0,$O12)+IF(AL$14="",0,$O14)+IF(AL$16="",0,$O16)+IF(AL$18="",0,$O18))*税率・条件!$C$4/100,0)/12,2)</f>
        <v>0</v>
      </c>
      <c r="BC4" s="179">
        <f>ROUND(ROUNDDOWN((IF(AM$4="",0,$O4)+IF(AM$6="",0,$O6)+IF(AM$8="",0,$O8)+IF(AM$10="",0,$O10)+IF(AM$12="",0,$O12)+IF(AM$14="",0,$O14)+IF(AM$16="",0,$O16)+IF(AM$18="",0,$O18))*税率・条件!$C$4/100,0)/12,2)</f>
        <v>0</v>
      </c>
      <c r="BD4" s="179">
        <f>ROUND(ROUNDDOWN((IF(AN$4="",0,$O4)+IF(AN$6="",0,$O6)+IF(AN$8="",0,$O8)+IF(AN$10="",0,$O10)+IF(AN$12="",0,$O12)+IF(AN$14="",0,$O14)+IF(AN$16="",0,$O16)+IF(AN$18="",0,$O18))*税率・条件!$C$4/100,0)/12,2)</f>
        <v>0</v>
      </c>
      <c r="BE4" s="179">
        <f>ROUND(ROUNDDOWN((IF(AO$4="",0,$O4)+IF(AO$6="",0,$O6)+IF(AO$8="",0,$O8)+IF(AO$10="",0,$O10)+IF(AO$12="",0,$O12)+IF(AO$14="",0,$O14)+IF(AO$16="",0,$O16)+IF(AO$18="",0,$O18))*税率・条件!$C$4/100,0)/12,2)</f>
        <v>0</v>
      </c>
      <c r="BF4" s="179">
        <f>ROUND(ROUNDDOWN((IF(AP$4="",0,$O4)+IF(AP$6="",0,$O6)+IF(AP$8="",0,$O8)+IF(AP$10="",0,$O10)+IF(AP$12="",0,$O12)+IF(AP$14="",0,$O14)+IF(AP$16="",0,$O16)+IF(AP$18="",0,$O18))*税率・条件!$C$4/100,0)/12,2)</f>
        <v>0</v>
      </c>
      <c r="BG4" s="179">
        <f>ROUND(ROUNDDOWN((IF(AQ$4="",0,$O4)+IF(AQ$6="",0,$O6)+IF(AQ$8="",0,$O8)+IF(AQ$10="",0,$O10)+IF(AQ$12="",0,$O12)+IF(AQ$14="",0,$O14)+IF(AQ$16="",0,$O16)+IF(AQ$18="",0,$O18))*税率・条件!$C$4/100,0)/12,2)</f>
        <v>0</v>
      </c>
      <c r="BH4" s="179">
        <f>ROUND(ROUNDDOWN((IF(AR$4="",0,$O4)+IF(AR$6="",0,$O6)+IF(AR$8="",0,$O8)+IF(AR$10="",0,$O10)+IF(AR$12="",0,$O12)+IF(AR$14="",0,$O14)+IF(AR$16="",0,$O16)+IF(AR$18="",0,$O18))*税率・条件!$C$4/100,0)/12,2)</f>
        <v>0</v>
      </c>
      <c r="BI4" s="179">
        <f>ROUND(ROUNDDOWN((IF(AS$4="",0,$O4)+IF(AS$6="",0,$O6)+IF(AS$8="",0,$O8)+IF(AS$10="",0,$O10)+IF(AS$12="",0,$O12)+IF(AS$14="",0,$O14)+IF(AS$16="",0,$O16)+IF(AS$18="",0,$O18))*税率・条件!$C$4/100,0)/12,2)</f>
        <v>0</v>
      </c>
      <c r="BJ4" s="179">
        <f>ROUND(ROUNDDOWN((IF(AT$4="",0,$O4)+IF(AT$6="",0,$O6)+IF(AT$8="",0,$O8)+IF(AT$10="",0,$O10)+IF(AT$12="",0,$O12)+IF(AT$14="",0,$O14)+IF(AT$16="",0,$O16)+IF(AT$18="",0,$O18))*税率・条件!$C$4/100,0)/12,2)</f>
        <v>0</v>
      </c>
      <c r="BK4" s="179">
        <f>ROUND(ROUNDDOWN((IF(AU$4="",0,$O4)+IF(AU$6="",0,$O6)+IF(AU$8="",0,$O8)+IF(AU$10="",0,$O10)+IF(AU$12="",0,$O12)+IF(AU$14="",0,$O14)+IF(AU$16="",0,$O16)+IF(AU$18="",0,$O18))*税率・条件!$C$4/100,0)/12,2)</f>
        <v>0</v>
      </c>
      <c r="BL4" s="191">
        <f>SUM(AZ4:BK4)</f>
        <v>0</v>
      </c>
      <c r="BM4" s="182">
        <f>ROUNDDOWN(ROUND(BL4,1),0)</f>
        <v>0</v>
      </c>
    </row>
    <row r="5" spans="1:65" ht="18.95" customHeight="1" x14ac:dyDescent="0.15">
      <c r="A5" s="392"/>
      <c r="B5" s="347"/>
      <c r="C5" s="360"/>
      <c r="D5" s="311"/>
      <c r="E5" s="311"/>
      <c r="F5" s="311"/>
      <c r="G5" s="353"/>
      <c r="H5" s="349"/>
      <c r="I5" s="314"/>
      <c r="J5" s="311"/>
      <c r="K5" s="311"/>
      <c r="L5" s="349"/>
      <c r="M5" s="347"/>
      <c r="N5" s="314"/>
      <c r="O5" s="311"/>
      <c r="P5" s="338"/>
      <c r="Q5" s="340"/>
      <c r="R5" s="342"/>
      <c r="S5" s="308"/>
      <c r="T5" s="334"/>
      <c r="U5" s="311"/>
      <c r="V5" s="311"/>
      <c r="W5" s="311"/>
      <c r="X5" s="316"/>
      <c r="Y5" s="314"/>
      <c r="Z5" s="311"/>
      <c r="AA5" s="311"/>
      <c r="AB5" s="311"/>
      <c r="AC5" s="316"/>
      <c r="AD5" s="314"/>
      <c r="AE5" s="311"/>
      <c r="AF5" s="311"/>
      <c r="AG5" s="311"/>
      <c r="AH5" s="316"/>
      <c r="AI5" s="108" t="str">
        <f>IF(入力!$F$16="","",IF(入力!C16="社保等","",COUNTIF(AJ5:AU5,"■")))</f>
        <v/>
      </c>
      <c r="AJ5" s="109" t="str">
        <f>IF(入力!$F$16="","",IF(入力!C16="社保等","",IF(AND(入力!$F$16&gt;DATE(税率・条件!$C$1+2018-65,計算!AJ$3+1,1),入力!$F$16&lt;=DATE(税率・条件!$C$1+2018-40,計算!AJ$3+1,1)),IF(OR(AND(入力!L16="",OR(入力!M16="",入力!M16&gt;4,入力!M16&lt;4)),AND(入力!L16=4,OR(入力!M16="",入力!M16&gt;4,入力!M16&lt;4))),"■",""),"")))</f>
        <v/>
      </c>
      <c r="AK5" s="109" t="str">
        <f>IF(入力!$F$16="","",IF(入力!C16="社保等","",IF(AND(入力!$F$16&gt;DATE(税率・条件!$C$1+2018-65,計算!AK$3+1,1),入力!$F$16&lt;=DATE(税率・条件!$C$1+2018-40,計算!AK$3+1,1)),IF(OR(AND(入力!L16="",OR(入力!M16="",入力!M16&gt;5,入力!M16&lt;4)),AND(入力!L16=4,OR(入力!M16="",入力!M16&gt;5,入力!M16&lt;4)),AND(入力!L16=5,OR(入力!M16="",入力!M16&gt;5,入力!M16&lt;4))),"■",""),"")))</f>
        <v/>
      </c>
      <c r="AL5" s="109" t="str">
        <f>IF(入力!$F$16="","",IF(入力!C16="社保等","",IF(AND(入力!$F$16&gt;DATE(税率・条件!$C$1+2018-65,計算!AL$3+1,1),入力!$F$16&lt;=DATE(税率・条件!$C$1+2018-40,計算!AL$3+1,1)),IF(OR(AND(入力!L16="",OR(入力!M16="",入力!M16&gt;6,入力!M16&lt;4)),AND(入力!L16=4,OR(入力!M16="",入力!M16&gt;6,入力!M16&lt;4)),AND(入力!L16=5,OR(入力!M16="",入力!M16&gt;6,入力!M16&lt;4)),AND(入力!L16=6,OR(入力!M16="",入力!M16&gt;6,入力!M16&lt;4))),"■",""),"")))</f>
        <v/>
      </c>
      <c r="AM5" s="109" t="str">
        <f>IF(入力!$F$16="","",IF(入力!C16="社保等","",IF(AND(入力!$F$16&gt;DATE(税率・条件!$C$1+2018-65,計算!AM$3+1,1),入力!$F$16&lt;=DATE(税率・条件!$C$1+2018-40,計算!AM$3+1,1)),IF(OR(AND(入力!L16="",OR(入力!M16="",入力!M16&gt;7,入力!M16&lt;4)),AND(入力!L16=4,OR(入力!M16="",入力!M16&gt;7,入力!M16&lt;4)),AND(入力!L16=5,OR(入力!M16="",入力!M16&gt;7,入力!M16&lt;4)),AND(入力!L16=6,OR(入力!M16="",入力!M16&gt;7,入力!M16&lt;4)),AND(入力!L16=7,OR(入力!M16="",入力!M16&gt;7,入力!M16&lt;4))),"■",""),"")))</f>
        <v/>
      </c>
      <c r="AN5" s="109" t="str">
        <f>IF(入力!$F$16="","",IF(入力!C16="社保等","",IF(AND(入力!$F$16&gt;DATE(税率・条件!$C$1+2018-65,計算!AN$3+1,1),入力!$F$16&lt;=DATE(税率・条件!$C$1+2018-40,計算!AN$3+1,1)),IF(OR(AND(入力!L16="",OR(入力!M16="",入力!M16&gt;8,入力!M16&lt;4)),AND(入力!L16=4,OR(入力!M16="",入力!M16&gt;8,入力!M16&lt;4)),AND(入力!L16=5,OR(入力!M16="",入力!M16&gt;8,入力!M16&lt;4)),AND(入力!L16=6,OR(入力!M16="",入力!M16&gt;8,入力!M16&lt;4)),AND(入力!L16=7,OR(入力!M16="",入力!M16&gt;8,入力!M16&lt;4)),AND(入力!L16=8,OR(入力!M16="",入力!M16&gt;8,入力!M16&lt;4))),"■",""),"")))</f>
        <v/>
      </c>
      <c r="AO5" s="109" t="str">
        <f>IF(入力!$F$16="","",IF(入力!C16="社保等","",IF(AND(入力!$F$16&gt;DATE(税率・条件!$C$1+2018-65,計算!AO$3+1,1),入力!$F$16&lt;=DATE(税率・条件!$C$1+2018-40,計算!AO$3+1,1)),IF(OR(AND(入力!L16="",OR(入力!M16="",入力!M16&gt;9,入力!M16&lt;4)),AND(入力!L16=4,OR(入力!M16="",入力!M16&gt;9,入力!M16&lt;4)),AND(入力!L16=5,OR(入力!M16="",入力!M16&gt;9,入力!M16&lt;4)),AND(入力!L16=6,OR(入力!M16="",入力!M16&gt;9,入力!M16&lt;4)),AND(入力!L16=7,OR(入力!M16="",入力!M16&gt;9,入力!M16&lt;4)),AND(入力!L16=8,OR(入力!M16="",入力!M16&gt;9,入力!M16&lt;4)),AND(入力!L16=9,OR(入力!M16="",入力!M16&gt;9,入力!M16&lt;4))),"■",""),"")))</f>
        <v/>
      </c>
      <c r="AP5" s="109" t="str">
        <f>IF(入力!$F$16="","",IF(入力!C16="社保等","",IF(AND(入力!$F$16&gt;DATE(税率・条件!$C$1+2018-65,計算!AP$3+1,1),入力!$F$16&lt;=DATE(税率・条件!$C$1+2018-40,計算!AP$3+1,1)),IF(OR(AND(入力!L16="",OR(入力!M16="",入力!M16&gt;10,入力!M16&lt;4)),AND(入力!L16=4,OR(入力!M16="",入力!M16&gt;10,入力!M16&lt;4)),AND(入力!L16=5,OR(入力!M16="",入力!M16&gt;10,入力!M16&lt;4)),AND(入力!L16=6,OR(入力!M16="",入力!M16&gt;10,入力!M16&lt;4)),AND(入力!L16=7,OR(入力!M16="",入力!M16&gt;10,入力!M16&lt;4)),AND(入力!L16=8,OR(入力!M16="",入力!M16&gt;10,入力!M16&lt;4)),AND(入力!L16=9,OR(入力!M16="",入力!M16&gt;10,入力!M16&lt;4)),AND(入力!L16=10,OR(入力!M16="",入力!M16&gt;10,入力!M16&lt;4))),"■",""),"")))</f>
        <v/>
      </c>
      <c r="AQ5" s="109" t="str">
        <f>IF(入力!$F$16="","",IF(入力!C16="社保等","",IF(AND(入力!$F$16&gt;DATE(税率・条件!$C$1+2018-65,計算!AQ$3+1,1),入力!$F$16&lt;=DATE(税率・条件!$C$1+2018-40,計算!AQ$3+1,1)),IF(OR(AND(入力!L16="",OR(入力!M16="",入力!M16&gt;11,入力!M16&lt;4)),AND(入力!L16=4,OR(入力!M16="",入力!M16&gt;11,入力!M16&lt;4)),AND(入力!L16=5,OR(入力!M16="",入力!M16&gt;11,入力!M16&lt;4)),AND(入力!L16=6,OR(入力!M16="",入力!M16&gt;11,入力!M16&lt;4)),AND(入力!L16=7,OR(入力!M16="",入力!M16&gt;11,入力!M16&lt;4)),AND(入力!L16=8,OR(入力!M16="",入力!M16&gt;11,入力!M16&lt;4)),AND(入力!L16=9,OR(入力!M16="",入力!M16&gt;11,入力!M16&lt;4)),AND(入力!L16=10,OR(入力!M16="",入力!M16&gt;11,入力!M16&lt;4)),AND(入力!L16=11,OR(入力!M16="",入力!M16&gt;11,入力!M16&lt;4))),"■",""),"")))</f>
        <v/>
      </c>
      <c r="AR5" s="109" t="str">
        <f>IF(入力!$F$16="","",IF(入力!C16="社保等","",IF(AND(入力!$F$16&gt;DATE(税率・条件!$C$1+2018-65,計算!AR$3+1,1),入力!$F$16&lt;=DATE(税率・条件!$C$1+2018-40,計算!AR$3+1,1)),IF(OR(AND(入力!L16="",OR(入力!M16="",入力!M16&gt;12,入力!M16&lt;4)),AND(入力!L16=4,OR(入力!M16="",入力!M16&gt;12,入力!M16&lt;4)),AND(入力!L16=5,OR(入力!M16="",入力!M16&gt;12,入力!M16&lt;4)),AND(入力!L16=6,OR(入力!M16="",入力!M16&gt;12,入力!M16&lt;4)),AND(入力!L16=7,OR(入力!M16="",入力!M16&gt;12,入力!M16&lt;4)),AND(入力!L16=8,OR(入力!M16="",入力!M16&gt;12,入力!M16&lt;4)),AND(入力!L16=9,OR(入力!M16="",入力!M16&gt;12,入力!M16&lt;4)),AND(入力!L16=10,OR(入力!M16="",入力!M16&gt;12,入力!M16&lt;4)),AND(入力!L16=11,OR(入力!M16="",入力!M16&gt;12,入力!M16&lt;4)),AND(入力!L16=12,OR(入力!M16="",入力!M16&gt;12,入力!M16&lt;4))),"■",""),"")))</f>
        <v/>
      </c>
      <c r="AS5" s="109" t="str">
        <f>IF(入力!$F$16="","",IF(入力!C16="社保等","",IF(AND(入力!$F$16&gt;DATE(税率・条件!$C$1+2019-65,計算!AS$3+1,1),入力!$F$16&lt;=DATE(税率・条件!$C$1+2019-40,計算!AS$3+1,1)),IF(OR(AND(入力!L16="",OR(入力!M16="",入力!M16=2,入力!M16=3)),AND(入力!L16=4,OR(入力!M16="",入力!M16=2,入力!M16=3)),AND(入力!L16=5,OR(入力!M16="",入力!M16=2,入力!M16=3)),AND(入力!L16=6,OR(入力!M16="",入力!M16=2,入力!M16=3)),AND(入力!L16=7,OR(入力!M16="",入力!M16=2,入力!M16=3)),AND(入力!L16=8,OR(入力!M16="",入力!M16=2,入力!M16=3)),AND(入力!L16=9,OR(入力!M16="",入力!M16=2,入力!M16=3)),AND(入力!L16=10,OR(入力!M16="",入力!M16=2,入力!M16=3)),AND(入力!L16=11,OR(入力!M16="",入力!M16=2,入力!M16=3)),AND(入力!L16=12,OR(入力!M16="",入力!M16=2,入力!M16=3)),AND(入力!L16=1,OR(入力!M16="",入力!M16=2,入力!M16=3))),"■",""),"")))</f>
        <v/>
      </c>
      <c r="AT5" s="109" t="str">
        <f>IF(入力!$F$16="","",IF(入力!C16="社保等","",IF(AND(入力!$F$16&gt;DATE(税率・条件!$C$1+2019-65,計算!AT$3+1,1),入力!$F$16&lt;=DATE(税率・条件!$C$1+2019-40,計算!AT$3+1,1)),IF(OR(AND(入力!L16="",OR(入力!M16="",入力!M16=3)),AND(入力!L16=4,OR(入力!M16="",入力!M16=3)),AND(入力!L16=5,OR(入力!M16="",入力!M16=3)),AND(入力!L16=6,OR(入力!M16="",入力!M16=3)),AND(入力!L16=7,OR(入力!M16="",入力!M16=3)),AND(入力!L16=8,OR(入力!M16="",入力!M16=3)),AND(入力!L16=9,OR(入力!M16="",入力!M16=3)),AND(入力!L16=10,OR(入力!M16="",入力!M16=3)),AND(入力!L16=11,OR(入力!M16="",入力!M16=3)),AND(入力!L16=12,OR(入力!M16="",入力!M16=3)),AND(入力!L16=1,OR(入力!M16="",入力!M16=3)),AND(入力!L16=2,OR(入力!M16="",入力!M16=3))),"■",""),"")))</f>
        <v/>
      </c>
      <c r="AU5" s="110" t="str">
        <f>IF(入力!$F$16="","",IF(入力!C16="社保等","",IF(AND(入力!$F$16&gt;DATE(税率・条件!$C$1+2019-65,計算!AU$3+1,1),入力!$F$16&lt;=DATE(税率・条件!$C$1+2019-40,計算!AU$3+1,1)),IF(OR(AND(入力!L16="",入力!M16=""),AND(入力!L16=4,入力!M16=""),AND(入力!L16=5,入力!M16=""),AND(入力!L16=6,入力!M16=""),AND(入力!L16=7,入力!M16=""),AND(入力!L16=8,入力!M16=""),AND(入力!L16=9,入力!M16=""),AND(入力!L16=10,入力!M16=""),AND(入力!L16=11,入力!M16=""),AND(入力!L16=12,入力!M16=""),AND(入力!L16=1,入力!M16=""),AND(入力!L16=2,入力!M16=""),AND(入力!L16=3,入力!M16="")),"■",""),"")))</f>
        <v/>
      </c>
      <c r="AY5" s="180" t="s">
        <v>173</v>
      </c>
      <c r="AZ5" s="183">
        <f>ROUND(ROUNDDOWN((IF(AJ$4="",0,入力!$J$16)+IF(AJ$6="",0,入力!$J$17)+IF(AJ$8="",0,入力!$J$18)+IF(AJ$10="",0,入力!$J$19)+IF(AJ$12="",0,入力!$J$20)+IF(AJ$14="",0,入力!$J$21)+IF(AJ$16="",0,入力!$J$22)+IF(AJ$18="",0,入力!$J$23))*税率・条件!$C$5/100,0)/12,2)</f>
        <v>0</v>
      </c>
      <c r="BA5" s="183">
        <f>ROUND(ROUNDDOWN((IF(AK$4="",0,入力!$J$16)+IF(AK$6="",0,入力!$J$17)+IF(AK$8="",0,入力!$J$18)+IF(AK$10="",0,入力!$J$19)+IF(AK$12="",0,入力!$J$20)+IF(AK$14="",0,入力!$J$21)+IF(AK$16="",0,入力!$J$22)+IF(AK$18="",0,入力!$J$23))*税率・条件!$C$5/100,0)/12,2)</f>
        <v>0</v>
      </c>
      <c r="BB5" s="183">
        <f>ROUND(ROUNDDOWN((IF(AL$4="",0,入力!$J$16)+IF(AL$6="",0,入力!$J$17)+IF(AL$8="",0,入力!$J$18)+IF(AL$10="",0,入力!$J$19)+IF(AL$12="",0,入力!$J$20)+IF(AL$14="",0,入力!$J$21)+IF(AL$16="",0,入力!$J$22)+IF(AL$18="",0,入力!$J$23))*税率・条件!$C$5/100,0)/12,2)</f>
        <v>0</v>
      </c>
      <c r="BC5" s="183">
        <f>ROUND(ROUNDDOWN((IF(AM$4="",0,入力!$J$16)+IF(AM$6="",0,入力!$J$17)+IF(AM$8="",0,入力!$J$18)+IF(AM$10="",0,入力!$J$19)+IF(AM$12="",0,入力!$J$20)+IF(AM$14="",0,入力!$J$21)+IF(AM$16="",0,入力!$J$22)+IF(AM$18="",0,入力!$J$23))*税率・条件!$C$5/100,0)/12,2)</f>
        <v>0</v>
      </c>
      <c r="BD5" s="183">
        <f>ROUND(ROUNDDOWN((IF(AN$4="",0,入力!$J$16)+IF(AN$6="",0,入力!$J$17)+IF(AN$8="",0,入力!$J$18)+IF(AN$10="",0,入力!$J$19)+IF(AN$12="",0,入力!$J$20)+IF(AN$14="",0,入力!$J$21)+IF(AN$16="",0,入力!$J$22)+IF(AN$18="",0,入力!$J$23))*税率・条件!$C$5/100,0)/12,2)</f>
        <v>0</v>
      </c>
      <c r="BE5" s="183">
        <f>ROUND(ROUNDDOWN((IF(AO$4="",0,入力!$J$16)+IF(AO$6="",0,入力!$J$17)+IF(AO$8="",0,入力!$J$18)+IF(AO$10="",0,入力!$J$19)+IF(AO$12="",0,入力!$J$20)+IF(AO$14="",0,入力!$J$21)+IF(AO$16="",0,入力!$J$22)+IF(AO$18="",0,入力!$J$23))*税率・条件!$C$5/100,0)/12,2)</f>
        <v>0</v>
      </c>
      <c r="BF5" s="183">
        <f>ROUND(ROUNDDOWN((IF(AP$4="",0,入力!$J$16)+IF(AP$6="",0,入力!$J$17)+IF(AP$8="",0,入力!$J$18)+IF(AP$10="",0,入力!$J$19)+IF(AP$12="",0,入力!$J$20)+IF(AP$14="",0,入力!$J$21)+IF(AP$16="",0,入力!$J$22)+IF(AP$18="",0,入力!$J$23))*税率・条件!$C$5/100,0)/12,2)</f>
        <v>0</v>
      </c>
      <c r="BG5" s="183">
        <f>ROUND(ROUNDDOWN((IF(AQ$4="",0,入力!$J$16)+IF(AQ$6="",0,入力!$J$17)+IF(AQ$8="",0,入力!$J$18)+IF(AQ$10="",0,入力!$J$19)+IF(AQ$12="",0,入力!$J$20)+IF(AQ$14="",0,入力!$J$21)+IF(AQ$16="",0,入力!$J$22)+IF(AQ$18="",0,入力!$J$23))*税率・条件!$C$5/100,0)/12,2)</f>
        <v>0</v>
      </c>
      <c r="BH5" s="183">
        <f>ROUND(ROUNDDOWN((IF(AR$4="",0,入力!$J$16)+IF(AR$6="",0,入力!$J$17)+IF(AR$8="",0,入力!$J$18)+IF(AR$10="",0,入力!$J$19)+IF(AR$12="",0,入力!$J$20)+IF(AR$14="",0,入力!$J$21)+IF(AR$16="",0,入力!$J$22)+IF(AR$18="",0,入力!$J$23))*税率・条件!$C$5/100,0)/12,2)</f>
        <v>0</v>
      </c>
      <c r="BI5" s="183">
        <f>ROUND(ROUNDDOWN((IF(AS$4="",0,入力!$J$16)+IF(AS$6="",0,入力!$J$17)+IF(AS$8="",0,入力!$J$18)+IF(AS$10="",0,入力!$J$19)+IF(AS$12="",0,入力!$J$20)+IF(AS$14="",0,入力!$J$21)+IF(AS$16="",0,入力!$J$22)+IF(AS$18="",0,入力!$J$23))*税率・条件!$C$5/100,0)/12,2)</f>
        <v>0</v>
      </c>
      <c r="BJ5" s="183">
        <f>ROUND(ROUNDDOWN((IF(AT$4="",0,入力!$J$16)+IF(AT$6="",0,入力!$J$17)+IF(AT$8="",0,入力!$J$18)+IF(AT$10="",0,入力!$J$19)+IF(AT$12="",0,入力!$J$20)+IF(AT$14="",0,入力!$J$21)+IF(AT$16="",0,入力!$J$22)+IF(AT$18="",0,入力!$J$23))*税率・条件!$C$5/100,0)/12,2)</f>
        <v>0</v>
      </c>
      <c r="BK5" s="183">
        <f>ROUND(ROUNDDOWN((IF(AU$4="",0,入力!$J$16)+IF(AU$6="",0,入力!$J$17)+IF(AU$8="",0,入力!$J$18)+IF(AU$10="",0,入力!$J$19)+IF(AU$12="",0,入力!$J$20)+IF(AU$14="",0,入力!$J$21)+IF(AU$16="",0,入力!$J$22)+IF(AU$18="",0,入力!$J$23))*税率・条件!$C$5/100,0)/12,2)</f>
        <v>0</v>
      </c>
      <c r="BL5" s="192">
        <f t="shared" ref="BL5:BL7" si="0">SUM(AZ5:BK5)</f>
        <v>0</v>
      </c>
      <c r="BM5" s="184">
        <f t="shared" ref="BM5:BM13" si="1">ROUNDDOWN(ROUND(BL5,1),0)</f>
        <v>0</v>
      </c>
    </row>
    <row r="6" spans="1:65" ht="18.95" customHeight="1" x14ac:dyDescent="0.15">
      <c r="A6" s="357" t="str">
        <f>入力!E17</f>
        <v>２</v>
      </c>
      <c r="B6" s="354" t="str">
        <f>IF(入力!F17="","",IF(入力!F17&lt;=DATE(税率・条件!C1+1953,1,1),"65歳以上",IF(入力!F17&gt;DATE(税率・条件!C1+2012,4,1),"未就学","一般")))</f>
        <v/>
      </c>
      <c r="C6" s="359" t="str">
        <f>IF(D6="","",IF(入力!K17="該 当","該当","非該当"))</f>
        <v/>
      </c>
      <c r="D6" s="336" t="str">
        <f>IF(入力!G17="","",ROUNDDOWN(VLOOKUP(入力!G17,$B$24:$J$35,3,1)*IF(入力!K17="該 当",0.3,1),0))</f>
        <v/>
      </c>
      <c r="E6" s="336" t="str">
        <f>IF(D6="","",IF(OR(D6="",K6=""),0,IF(D6+K6&lt;100000,0,IF(D6&lt;100000,D6,100000)+IF(K6&lt;100000,K6,100000)-100000)))</f>
        <v/>
      </c>
      <c r="F6" s="336" t="str">
        <f>IF(D6="","",D6-E6)</f>
        <v/>
      </c>
      <c r="G6" s="350" t="str">
        <f>IF(D6="","",IF(OR(D6="",L6=""),0,IF(D6+L6&lt;100000,0,IF(D6&lt;100000,D6,100000)+IF(L6&lt;100000,L6,100000)-100000)))</f>
        <v/>
      </c>
      <c r="H6" s="348" t="str">
        <f>IF(D6="","",D6-G6)</f>
        <v/>
      </c>
      <c r="I6" s="335" t="str">
        <f>IF(入力!H17="","",IF(B6="65歳以上",VLOOKUP(入力!H17,$B$48:$D$52,2,1),VLOOKUP(入力!H17,$B$40:$D$44,2,1)))</f>
        <v/>
      </c>
      <c r="J6" s="336" t="str">
        <f>IF(I6="","",IF(B6="65歳以上",VLOOKUP(入力!H17,$B$48:$D$52,3,1),VLOOKUP(入力!H17,$B$40:$D$44,3,1)))</f>
        <v/>
      </c>
      <c r="K6" s="336" t="str">
        <f>IF(I6="","",IF(入力!H17*計算!I6/100-計算!J6&lt;0,0,ROUNDDOWN(入力!H17*計算!I6/100-計算!J6,0)))</f>
        <v/>
      </c>
      <c r="L6" s="348" t="str">
        <f>IF(K6="","",IF(B6="65歳以上",IF(K6&lt;税率・条件!$G$9,0,K6-税率・条件!$G$9),K6))</f>
        <v/>
      </c>
      <c r="M6" s="346" t="str">
        <f>IF(入力!I17="","",入力!I17)</f>
        <v/>
      </c>
      <c r="N6" s="335" t="str">
        <f>IF(入力!F17="","",SUM(F6,K6,M6))</f>
        <v/>
      </c>
      <c r="O6" s="336" t="str">
        <f>IF(入力!P17&lt;&gt;"",IF(計算!N6-430000&gt;0,計算!N6-430000,0),"")</f>
        <v/>
      </c>
      <c r="P6" s="337" t="str">
        <f>IF(入力!Q17&lt;&gt;"",IF(計算!N6-430000&gt;0,計算!N6-430000,0),"")</f>
        <v/>
      </c>
      <c r="Q6" s="339" t="str">
        <f>IF(N6="","",IF(AW6&lt;&gt;AW20,"",SUM(H6,L6,M6)))</f>
        <v/>
      </c>
      <c r="R6" s="341" t="str">
        <f>IF(AND(D6="",K6=""),"",IF(AW6&lt;&gt;AW20,"",IF(OR(入力!G17&gt;550000,AND(B6="65歳以上",入力!H17&gt;1250000),AND(B6&lt;&gt;"65歳以上",入力!H17&gt;600000)),1,"")))</f>
        <v/>
      </c>
      <c r="S6" s="307" t="str">
        <f>IF(N6="","",IF(AND(入力!$H$25&lt;&gt;"",入力!$C$19="全員申告済み",$AW$6=$AW$20),"該当",""))</f>
        <v/>
      </c>
      <c r="T6" s="332" t="str">
        <f>IF($O6="","",ROUNDDOWN($O6*税率・条件!$C$4/100,0))</f>
        <v/>
      </c>
      <c r="U6" s="310" t="str">
        <f>IF(入力!$P17="","",ROUNDDOWN(入力!$J17*税率・条件!$C$5/100,0))</f>
        <v/>
      </c>
      <c r="V6" s="310" t="str">
        <f>IF(入力!$P17="","",ROUNDDOWN(税率・条件!$C$6*(100%-IF(B6="未就学",税率・条件!$H$11,0%))*(100%-$M$34),0))</f>
        <v/>
      </c>
      <c r="W6" s="325"/>
      <c r="X6" s="315" t="str">
        <f t="shared" ref="X6:X18" si="2">IF(SUM(T6:W6)&gt;0,SUM(T6:W6),"")</f>
        <v/>
      </c>
      <c r="Y6" s="313" t="str">
        <f>IF($O6="","",ROUNDDOWN($O6*税率・条件!$C$9/100,0))</f>
        <v/>
      </c>
      <c r="Z6" s="310" t="str">
        <f>IF(入力!$P17="","",ROUNDDOWN(入力!$J17*税率・条件!$C$10/100,0))</f>
        <v/>
      </c>
      <c r="AA6" s="310" t="str">
        <f>IF(入力!$P17="","",ROUNDDOWN(税率・条件!$C$11*(100%-IF(B6="未就学",税率・条件!$H$11,0%))*(100%-$M$34),0))</f>
        <v/>
      </c>
      <c r="AB6" s="325"/>
      <c r="AC6" s="315" t="str">
        <f>IF(SUM(Y6:AB6)&gt;0,SUM(Y6:AB6),"")</f>
        <v/>
      </c>
      <c r="AD6" s="313" t="str">
        <f>IF($P6="","",ROUNDDOWN($P6*税率・条件!$C$14/100,0))</f>
        <v/>
      </c>
      <c r="AE6" s="310" t="str">
        <f>IF(入力!$Q17="","",ROUNDDOWN(入力!$J17*税率・条件!$C$15/100,0))</f>
        <v/>
      </c>
      <c r="AF6" s="310" t="str">
        <f>IF(入力!$Q17="","",ROUNDDOWN(税率・条件!$C$16*(100%-$M$34),0))</f>
        <v/>
      </c>
      <c r="AG6" s="325"/>
      <c r="AH6" s="315" t="str">
        <f t="shared" ref="AH6:AH18" si="3">IF(SUM(AD6:AG6)&gt;0,SUM(AD6:AG6),"")</f>
        <v/>
      </c>
      <c r="AI6" s="107" t="str">
        <f>IF(入力!$F$17="","",COUNTIF(AJ6:AU6,"●"))</f>
        <v/>
      </c>
      <c r="AJ6" s="111" t="str">
        <f>IF(入力!$F$17="","",IF(入力!$F$17&gt;=DATE(税率・条件!$C$1+2018,計算!AJ$3+1,1),"",IF(入力!$F$17&gt;=DATE(税率・条件!$C$1+2018-75,計算!AJ$3+1,1),IF(OR(AND(入力!L17="",OR(入力!M17="",入力!M17&gt;4,入力!M17&lt;4)),AND(入力!L17=4,OR(入力!M17="",入力!M17&gt;4,入力!M17&lt;4))),"●",""),"")))</f>
        <v/>
      </c>
      <c r="AK6" s="111" t="str">
        <f>IF(入力!$F$17="","",IF(入力!$F$17&gt;=DATE(税率・条件!$C$1+2018,計算!AK$3+1,1),"",IF(入力!$F$17&gt;=DATE(税率・条件!$C$1+2018-75,計算!AK$3+1,1),IF(OR(AND(入力!L17="",OR(入力!M17="",入力!M17&gt;5,入力!M17&lt;4)),AND(入力!L17=4,OR(入力!M17="",入力!M17&gt;5,入力!M17&lt;4)),AND(入力!L17=5,OR(入力!M17="",入力!M17&gt;5,入力!M17&lt;4))),"●",""),"")))</f>
        <v/>
      </c>
      <c r="AL6" s="111" t="str">
        <f>IF(入力!$F$17="","",IF(入力!$F$17&gt;=DATE(税率・条件!$C$1+2018,計算!AL$3+1,1),"",IF(入力!$F$17&gt;=DATE(税率・条件!$C$1+2018-75,計算!AL$3+1,1),IF(OR(AND(入力!L17="",OR(入力!M17="",入力!M17&gt;6,入力!M17&lt;4)),AND(入力!L17=4,OR(入力!M17="",入力!M17&gt;6,入力!M17&lt;4)),AND(入力!L17=5,OR(入力!M17="",入力!M17&gt;6,入力!M17&lt;4)),AND(入力!L17=6,OR(入力!M17="",入力!M17&gt;6,入力!M17&lt;4))),"●",""),"")))</f>
        <v/>
      </c>
      <c r="AM6" s="111" t="str">
        <f>IF(入力!$F$17="","",IF(入力!$F$17&gt;=DATE(税率・条件!$C$1+2018,計算!AM$3+1,1),"",IF(入力!$F$17&gt;=DATE(税率・条件!$C$1+2018-75,計算!AM$3+1,1),IF(OR(AND(入力!L17="",OR(入力!M17="",入力!M17&gt;7,入力!M17&lt;4)),AND(入力!L17=4,OR(入力!M17="",入力!M17&gt;7,入力!M17&lt;4)),AND(入力!L17=5,OR(入力!M17="",入力!M17&gt;7,入力!M17&lt;4)),AND(入力!L17=6,OR(入力!M17="",入力!M17&gt;7,入力!M17&lt;4)),AND(入力!L17=7,OR(入力!M17="",入力!M17&gt;7,入力!M17&lt;4))),"●",""),"")))</f>
        <v/>
      </c>
      <c r="AN6" s="111" t="str">
        <f>IF(入力!$F$17="","",IF(入力!$F$17&gt;=DATE(税率・条件!$C$1+2018,計算!AN$3+1,1),"",IF(入力!$F$17&gt;=DATE(税率・条件!$C$1+2018-75,計算!AN$3+1,1),IF(OR(AND(入力!L17="",OR(入力!M17="",入力!M17&gt;8,入力!M17&lt;4)),AND(入力!L17=4,OR(入力!M17="",入力!M17&gt;8,入力!M17&lt;4)),AND(入力!L17=5,OR(入力!M17="",入力!M17&gt;8,入力!M17&lt;4)),AND(入力!L17=6,OR(入力!M17="",入力!M17&gt;8,入力!M17&lt;4)),AND(入力!L17=7,OR(入力!M17="",入力!M17&gt;8,入力!M17&lt;4)),AND(入力!L17=8,OR(入力!M17="",入力!M17&gt;8,入力!M17&lt;4))),"●",""),"")))</f>
        <v/>
      </c>
      <c r="AO6" s="111" t="str">
        <f>IF(入力!$F$17="","",IF(入力!$F$17&gt;=DATE(税率・条件!$C$1+2018,計算!AO$3+1,1),"",IF(入力!$F$17&gt;=DATE(税率・条件!$C$1+2018-75,計算!AO$3+1,1),IF(OR(AND(入力!L17="",OR(入力!M17="",入力!M17&gt;9,入力!M17&lt;4)),AND(入力!L17=4,OR(入力!M17="",入力!M17&gt;9,入力!M17&lt;4)),AND(入力!L17=5,OR(入力!M17="",入力!M17&gt;9,入力!M17&lt;4)),AND(入力!L17=6,OR(入力!M17="",入力!M17&gt;9,入力!M17&lt;4)),AND(入力!L17=7,OR(入力!M17="",入力!M17&gt;9,入力!M17&lt;4)),AND(入力!L17=8,OR(入力!M17="",入力!M17&gt;9,入力!M17&lt;4)),AND(入力!L17=9,OR(入力!M17="",入力!M17&gt;9,入力!M17&lt;4))),"●",""),"")))</f>
        <v/>
      </c>
      <c r="AP6" s="111" t="str">
        <f>IF(入力!$F$17="","",IF(入力!$F$17&gt;=DATE(税率・条件!$C$1+2018,計算!AP$3+1,1),"",IF(入力!$F$17&gt;=DATE(税率・条件!$C$1+2018-75,計算!AP$3+1,1),IF(OR(AND(入力!L17="",OR(入力!M17="",入力!M17&gt;10,入力!M17&lt;4)),AND(入力!L17=4,OR(入力!M17="",入力!M17&gt;10,入力!M17&lt;4)),AND(入力!L17=5,OR(入力!M17="",入力!M17&gt;10,入力!M17&lt;4)),AND(入力!L17=6,OR(入力!M17="",入力!M17&gt;10,入力!M17&lt;4)),AND(入力!L17=7,OR(入力!M17="",入力!M17&gt;10,入力!M17&lt;4)),AND(入力!L17=8,OR(入力!M17="",入力!M17&gt;10,入力!M17&lt;4)),AND(入力!L17=9,OR(入力!M17="",入力!M17&gt;10,入力!M17&lt;4)),AND(入力!L17=10,OR(入力!M17="",入力!M17&gt;10,入力!M17&lt;4))),"●",""),"")))</f>
        <v/>
      </c>
      <c r="AQ6" s="111" t="str">
        <f>IF(入力!$F$17="","",IF(入力!$F$17&gt;=DATE(税率・条件!$C$1+2018,計算!AQ$3+1,1),"",IF(入力!$F$17&gt;=DATE(税率・条件!$C$1+2018-75,計算!AQ$3+1,1),IF(OR(AND(入力!L17="",OR(入力!M17="",入力!M17&gt;11,入力!M17&lt;4)),AND(入力!L17=4,OR(入力!M17="",入力!M17&gt;11,入力!M17&lt;4)),AND(入力!L17=5,OR(入力!M17="",入力!M17&gt;11,入力!M17&lt;4)),AND(入力!L17=6,OR(入力!M17="",入力!M17&gt;11,入力!M17&lt;4)),AND(入力!L17=7,OR(入力!M17="",入力!M17&gt;11,入力!M17&lt;4)),AND(入力!L17=8,OR(入力!M17="",入力!M17&gt;11,入力!M17&lt;4)),AND(入力!L17=9,OR(入力!M17="",入力!M17&gt;11,入力!M17&lt;4)),AND(入力!L17=10,OR(入力!M17="",入力!M17&gt;11,入力!M17&lt;4)),AND(入力!L17=11,OR(入力!M17="",入力!M17&gt;11,入力!M17&lt;4))),"●",""),"")))</f>
        <v/>
      </c>
      <c r="AR6" s="111" t="str">
        <f>IF(入力!$F$17="","",IF(入力!$F$17&gt;=DATE(税率・条件!$C$1+2018,計算!AR$3+1,1),"",IF(入力!$F$17&gt;=DATE(税率・条件!$C$1+2018-75,計算!AR$3+1,1),IF(OR(AND(入力!L17="",OR(入力!M17="",入力!M17&gt;12,入力!M17&lt;4)),AND(入力!L17=4,OR(入力!M17="",入力!M17&gt;12,入力!M17&lt;4)),AND(入力!L17=5,OR(入力!M17="",入力!M17&gt;12,入力!M17&lt;4)),AND(入力!L17=6,OR(入力!M17="",入力!M17&gt;12,入力!M17&lt;4)),AND(入力!L17=7,OR(入力!M17="",入力!M17&gt;12,入力!M17&lt;4)),AND(入力!L17=8,OR(入力!M17="",入力!M17&gt;12,入力!M17&lt;4)),AND(入力!L17=9,OR(入力!M17="",入力!M17&gt;12,入力!M17&lt;4)),AND(入力!L17=10,OR(入力!M17="",入力!M17&gt;12,入力!M17&lt;4)),AND(入力!L17=11,OR(入力!M17="",入力!M17&gt;12,入力!M17&lt;4)),AND(入力!L17=12,OR(入力!M17="",入力!M17&gt;12,入力!M17&lt;4))),"●",""),"")))</f>
        <v/>
      </c>
      <c r="AS6" s="111" t="str">
        <f>IF(入力!$F$17="","",IF(入力!$F$17&gt;=DATE(税率・条件!$C$1+2019,計算!AS$3+1,1),"",IF(入力!$F$17&gt;=DATE(税率・条件!$C$1+2019-75,計算!AS$3+1,1),IF(OR(AND(入力!L17="",OR(入力!M17="",入力!M17=2,入力!M17=3)),AND(入力!L17=4,OR(入力!M17="",入力!M17=2,入力!M17=3)),AND(入力!L17=5,OR(入力!M17="",入力!M17=2,入力!M17=3)),AND(入力!L17=6,OR(入力!M17="",入力!M17=2,入力!M17=3)),AND(入力!L17=7,OR(入力!M17="",入力!M17=2,入力!M17=3)),AND(入力!L17=8,OR(入力!M17="",入力!M17=2,入力!M17=3)),AND(入力!L17=9,OR(入力!M17="",入力!M17=2,入力!M17=3)),AND(入力!L17=10,OR(入力!M17="",入力!M17=2,入力!M17=3)),AND(入力!L17=11,OR(入力!M17="",入力!M17=2,入力!M17=3)),AND(入力!L17=12,OR(入力!M17="",入力!M17=2,入力!M17=3)),AND(入力!L17=1,OR(入力!M17="",入力!M17=2,入力!M17=3))),"●",""),"")))</f>
        <v/>
      </c>
      <c r="AT6" s="111" t="str">
        <f>IF(入力!$F$17="","",IF(入力!$F$17&gt;=DATE(税率・条件!$C$1+2019,計算!AT$3+1,1),"",IF(入力!$F$17&gt;=DATE(税率・条件!$C$1+2019-75,計算!AT$3+1,1),IF(OR(AND(入力!L17="",OR(入力!M17="",入力!M17=3)),AND(入力!L17=4,OR(入力!M17="",入力!M17=3)),AND(入力!L17=5,OR(入力!M17="",入力!M17=3)),AND(入力!L17=6,OR(入力!M17="",入力!M17=3)),AND(入力!L17=7,OR(入力!M17="",入力!M17=3)),AND(入力!L17=8,OR(入力!M17="",入力!M17=3)),AND(入力!L17=9,OR(入力!M17="",入力!M17=3)),AND(入力!L17=10,OR(入力!M17="",入力!M17=3)),AND(入力!L17=11,OR(入力!M17="",入力!M17=3)),AND(入力!L17=12,OR(入力!M17="",入力!M17=3)),AND(入力!L17=1,OR(入力!M17="",入力!M17=3)),AND(入力!L17=2,OR(入力!M17="",入力!M17=3))),"●",""),"")))</f>
        <v/>
      </c>
      <c r="AU6" s="112" t="str">
        <f>IF(入力!$F$17="","",IF(入力!$F$17&gt;=DATE(税率・条件!$C$1+2019,計算!AU$3+1,1),"",IF(入力!$F$17&gt;=DATE(税率・条件!$C$1+2019-75,計算!AU$3+1,1),IF(OR(AND(入力!L17="",入力!M17=""),AND(入力!L17=4,入力!M17=""),AND(入力!L17=5,入力!M17=""),AND(入力!L17=6,入力!M17=""),AND(入力!L17=7,入力!M17=""),AND(入力!L17=8,入力!M17=""),AND(入力!L17=9,入力!M17=""),AND(入力!L17=10,入力!M17=""),AND(入力!L17=11,入力!M17=""),AND(入力!L17=12,入力!M17=""),AND(入力!L17=1,入力!M17=""),AND(入力!L17=2,入力!M17=""),AND(入力!L17=3,入力!M17="")),"●",""),"")))</f>
        <v/>
      </c>
      <c r="AW6" s="94" t="str">
        <f>IF(AND(AJ$20=1,AJ6="●"),4,IF(AND(AK$20=1,AK6="●"),5,IF(AND(AL$20=1,AL6="●"),6,IF(AND(AM$20=1,AM6="●"),7,IF(AND(AN$20=1,AN6="●"),8,IF(AND(AO$20=1,AO6="●"),9,IF(AND(AP$20=1,AP6="●"),10,IF(AND(AQ$20=1,AQ6="●"),11,IF(AND(AR$20=1,AR6="●"),12,IF(AND(AS$20=1,AS6="●"),1,IF(AND(AT$20=1,AT6="●"),2,IF(AND(AU$20=1,AU6="●"),3,""))))))))))))</f>
        <v/>
      </c>
      <c r="AY6" s="180" t="s">
        <v>174</v>
      </c>
      <c r="AZ6" s="183">
        <f>ROUND(ROUNDDOWN((IF(AJ$4="",0,$V4)+IF(AJ$6="",0,$V6)+IF(AJ$8="",0,$V8)+IF(AJ$10="",0,$V10)+IF(AJ$12="",0,$V12)+IF(AJ$14="",0,$V14)+IF(AJ$16="",0,$V16)+IF(AJ$18="",0,$V18)),0)/12,2)</f>
        <v>0</v>
      </c>
      <c r="BA6" s="183">
        <f t="shared" ref="BA6:BK6" si="4">ROUND(ROUNDDOWN((IF(AK$4="",0,$V4)+IF(AK$6="",0,$V6)+IF(AK$8="",0,$V8)+IF(AK$10="",0,$V10)+IF(AK$12="",0,$V12)+IF(AK$14="",0,$V14)+IF(AK$16="",0,$V16)+IF(AK$18="",0,$V18)),0)/12,2)</f>
        <v>0</v>
      </c>
      <c r="BB6" s="183">
        <f t="shared" si="4"/>
        <v>0</v>
      </c>
      <c r="BC6" s="183">
        <f t="shared" si="4"/>
        <v>0</v>
      </c>
      <c r="BD6" s="183">
        <f t="shared" si="4"/>
        <v>0</v>
      </c>
      <c r="BE6" s="183">
        <f t="shared" si="4"/>
        <v>0</v>
      </c>
      <c r="BF6" s="183">
        <f t="shared" si="4"/>
        <v>0</v>
      </c>
      <c r="BG6" s="183">
        <f t="shared" si="4"/>
        <v>0</v>
      </c>
      <c r="BH6" s="183">
        <f t="shared" si="4"/>
        <v>0</v>
      </c>
      <c r="BI6" s="183">
        <f t="shared" si="4"/>
        <v>0</v>
      </c>
      <c r="BJ6" s="183">
        <f t="shared" si="4"/>
        <v>0</v>
      </c>
      <c r="BK6" s="183">
        <f t="shared" si="4"/>
        <v>0</v>
      </c>
      <c r="BL6" s="192">
        <f t="shared" si="0"/>
        <v>0</v>
      </c>
      <c r="BM6" s="184">
        <f t="shared" si="1"/>
        <v>0</v>
      </c>
    </row>
    <row r="7" spans="1:65" ht="18.95" customHeight="1" x14ac:dyDescent="0.15">
      <c r="A7" s="358"/>
      <c r="B7" s="355"/>
      <c r="C7" s="360"/>
      <c r="D7" s="311"/>
      <c r="E7" s="311"/>
      <c r="F7" s="311"/>
      <c r="G7" s="353"/>
      <c r="H7" s="349"/>
      <c r="I7" s="314"/>
      <c r="J7" s="311"/>
      <c r="K7" s="311"/>
      <c r="L7" s="349"/>
      <c r="M7" s="347"/>
      <c r="N7" s="314"/>
      <c r="O7" s="311"/>
      <c r="P7" s="338"/>
      <c r="Q7" s="340"/>
      <c r="R7" s="342"/>
      <c r="S7" s="308"/>
      <c r="T7" s="334"/>
      <c r="U7" s="311"/>
      <c r="V7" s="311"/>
      <c r="W7" s="328"/>
      <c r="X7" s="316"/>
      <c r="Y7" s="314"/>
      <c r="Z7" s="311"/>
      <c r="AA7" s="311"/>
      <c r="AB7" s="328"/>
      <c r="AC7" s="316"/>
      <c r="AD7" s="314"/>
      <c r="AE7" s="311"/>
      <c r="AF7" s="311"/>
      <c r="AG7" s="328"/>
      <c r="AH7" s="316"/>
      <c r="AI7" s="108" t="str">
        <f>IF(入力!$F$17="","",COUNTIF(AJ7:AU7,"■"))</f>
        <v/>
      </c>
      <c r="AJ7" s="109" t="str">
        <f>IF(入力!$F$17="","",IF(AND(入力!$F$17&gt;DATE(税率・条件!$C$1+2018-65,計算!AJ$3+1,1),入力!$F$17&lt;=DATE(税率・条件!$C$1+2018-40,計算!AJ$3+1,1)),IF(OR(AND(入力!L17="",OR(入力!M17="",入力!M17&gt;4,入力!M17&lt;4)),AND(入力!L17=4,OR(入力!M17="",入力!M17&gt;4,入力!M17&lt;4))),"■",""),""))</f>
        <v/>
      </c>
      <c r="AK7" s="109" t="str">
        <f>IF(入力!$F$17="","",IF(AND(入力!$F$17&gt;DATE(税率・条件!$C$1+2018-65,計算!AK$3+1,1),入力!$F$17&lt;=DATE(税率・条件!$C$1+2018-40,計算!AK$3+1,1)),IF(OR(AND(入力!L17="",OR(入力!M17="",入力!M17&gt;5,入力!M17&lt;4)),AND(入力!L17=4,OR(入力!M17="",入力!M17&gt;5,入力!M17&lt;4)),AND(入力!L17=5,OR(入力!M17="",入力!M17&gt;5,入力!M17&lt;4))),"■",""),""))</f>
        <v/>
      </c>
      <c r="AL7" s="109" t="str">
        <f>IF(入力!$F$17="","",IF(AND(入力!$F$17&gt;DATE(税率・条件!$C$1+2018-65,計算!AL$3+1,1),入力!$F$17&lt;=DATE(税率・条件!$C$1+2018-40,計算!AL$3+1,1)),IF(OR(AND(入力!L17="",OR(入力!M17="",入力!M17&gt;6,入力!M17&lt;4)),AND(入力!L17=4,OR(入力!M17="",入力!M17&gt;6,入力!M17&lt;4)),AND(入力!L17=5,OR(入力!M17="",入力!M17&gt;6,入力!M17&lt;4)),AND(入力!L17=6,OR(入力!M17="",入力!M17&gt;6,入力!M17&lt;4))),"■",""),""))</f>
        <v/>
      </c>
      <c r="AM7" s="109" t="str">
        <f>IF(入力!$F$17="","",IF(AND(入力!$F$17&gt;DATE(税率・条件!$C$1+2018-65,計算!AM$3+1,1),入力!$F$17&lt;=DATE(税率・条件!$C$1+2018-40,計算!AM$3+1,1)),IF(OR(AND(入力!L17="",OR(入力!M17="",入力!M17&gt;7,入力!M17&lt;4)),AND(入力!L17=4,OR(入力!M17="",入力!M17&gt;7,入力!M17&lt;4)),AND(入力!L17=5,OR(入力!M17="",入力!M17&gt;7,入力!M17&lt;4)),AND(入力!L17=6,OR(入力!M17="",入力!M17&gt;7,入力!M17&lt;4)),AND(入力!L17=7,OR(入力!M17="",入力!M17&gt;7,入力!M17&lt;4))),"■",""),""))</f>
        <v/>
      </c>
      <c r="AN7" s="109" t="str">
        <f>IF(入力!$F$17="","",IF(AND(入力!$F$17&gt;DATE(税率・条件!$C$1+2018-65,計算!AN$3+1,1),入力!$F$17&lt;=DATE(税率・条件!$C$1+2018-40,計算!AN$3+1,1)),IF(OR(AND(入力!L17="",OR(入力!M17="",入力!M17&gt;8,入力!M17&lt;4)),AND(入力!L17=4,OR(入力!M17="",入力!M17&gt;8,入力!M17&lt;4)),AND(入力!L17=5,OR(入力!M17="",入力!M17&gt;8,入力!M17&lt;4)),AND(入力!L17=6,OR(入力!M17="",入力!M17&gt;8,入力!M17&lt;4)),AND(入力!L17=7,OR(入力!M17="",入力!M17&gt;8,入力!M17&lt;4)),AND(入力!L17=8,OR(入力!M17="",入力!M17&gt;8,入力!M17&lt;4))),"■",""),""))</f>
        <v/>
      </c>
      <c r="AO7" s="109" t="str">
        <f>IF(入力!$F$17="","",IF(AND(入力!$F$17&gt;DATE(税率・条件!$C$1+2018-65,計算!AO$3+1,1),入力!$F$17&lt;=DATE(税率・条件!$C$1+2018-40,計算!AO$3+1,1)),IF(OR(AND(入力!L17="",OR(入力!M17="",入力!M17&gt;9,入力!M17&lt;4)),AND(入力!L17=4,OR(入力!M17="",入力!M17&gt;9,入力!M17&lt;4)),AND(入力!L17=5,OR(入力!M17="",入力!M17&gt;9,入力!M17&lt;4)),AND(入力!L17=6,OR(入力!M17="",入力!M17&gt;9,入力!M17&lt;4)),AND(入力!L17=7,OR(入力!M17="",入力!M17&gt;9,入力!M17&lt;4)),AND(入力!L17=8,OR(入力!M17="",入力!M17&gt;9,入力!M17&lt;4)),AND(入力!L17=9,OR(入力!M17="",入力!M17&gt;9,入力!M17&lt;4))),"■",""),""))</f>
        <v/>
      </c>
      <c r="AP7" s="109" t="str">
        <f>IF(入力!$F$17="","",IF(AND(入力!$F$17&gt;DATE(税率・条件!$C$1+2018-65,計算!AP$3+1,1),入力!$F$17&lt;=DATE(税率・条件!$C$1+2018-40,計算!AP$3+1,1)),IF(OR(AND(入力!L17="",OR(入力!M17="",入力!M17&gt;10,入力!M17&lt;4)),AND(入力!L17=4,OR(入力!M17="",入力!M17&gt;10,入力!M17&lt;4)),AND(入力!L17=5,OR(入力!M17="",入力!M17&gt;10,入力!M17&lt;4)),AND(入力!L17=6,OR(入力!M17="",入力!M17&gt;10,入力!M17&lt;4)),AND(入力!L17=7,OR(入力!M17="",入力!M17&gt;10,入力!M17&lt;4)),AND(入力!L17=8,OR(入力!M17="",入力!M17&gt;10,入力!M17&lt;4)),AND(入力!L17=9,OR(入力!M17="",入力!M17&gt;10,入力!M17&lt;4)),AND(入力!L17=10,OR(入力!M17="",入力!M17&gt;10,入力!M17&lt;4))),"■",""),""))</f>
        <v/>
      </c>
      <c r="AQ7" s="109" t="str">
        <f>IF(入力!$F$17="","",IF(AND(入力!$F$17&gt;DATE(税率・条件!$C$1+2018-65,計算!AQ$3+1,1),入力!$F$17&lt;=DATE(税率・条件!$C$1+2018-40,計算!AQ$3+1,1)),IF(OR(AND(入力!L17="",OR(入力!M17="",入力!M17&gt;11,入力!M17&lt;4)),AND(入力!L17=4,OR(入力!M17="",入力!M17&gt;11,入力!M17&lt;4)),AND(入力!L17=5,OR(入力!M17="",入力!M17&gt;11,入力!M17&lt;4)),AND(入力!L17=6,OR(入力!M17="",入力!M17&gt;11,入力!M17&lt;4)),AND(入力!L17=7,OR(入力!M17="",入力!M17&gt;11,入力!M17&lt;4)),AND(入力!L17=8,OR(入力!M17="",入力!M17&gt;11,入力!M17&lt;4)),AND(入力!L17=9,OR(入力!M17="",入力!M17&gt;11,入力!M17&lt;4)),AND(入力!L17=10,OR(入力!M17="",入力!M17&gt;11,入力!M17&lt;4)),AND(入力!L17=11,OR(入力!M17="",入力!M17&gt;11,入力!M17&lt;4))),"■",""),""))</f>
        <v/>
      </c>
      <c r="AR7" s="109" t="str">
        <f>IF(入力!$F$17="","",IF(AND(入力!$F$17&gt;DATE(税率・条件!$C$1+2018-65,計算!AR$3+1,1),入力!$F$17&lt;=DATE(税率・条件!$C$1+2018-40,計算!AR$3+1,1)),IF(OR(AND(入力!L17="",OR(入力!M17="",入力!M17&gt;12,入力!M17&lt;4)),AND(入力!L17=4,OR(入力!M17="",入力!M17&gt;12,入力!M17&lt;4)),AND(入力!L17=5,OR(入力!M17="",入力!M17&gt;12,入力!M17&lt;4)),AND(入力!L17=6,OR(入力!M17="",入力!M17&gt;12,入力!M17&lt;4)),AND(入力!L17=7,OR(入力!M17="",入力!M17&gt;12,入力!M17&lt;4)),AND(入力!L17=8,OR(入力!M17="",入力!M17&gt;12,入力!M17&lt;4)),AND(入力!L17=9,OR(入力!M17="",入力!M17&gt;12,入力!M17&lt;4)),AND(入力!L17=10,OR(入力!M17="",入力!M17&gt;12,入力!M17&lt;4)),AND(入力!L17=11,OR(入力!M17="",入力!M17&gt;12,入力!M17&lt;4)),AND(入力!L17=12,OR(入力!M17="",入力!M17&gt;12,入力!M17&lt;4))),"■",""),""))</f>
        <v/>
      </c>
      <c r="AS7" s="109" t="str">
        <f>IF(入力!$F$17="","",IF(AND(入力!$F$17&gt;DATE(税率・条件!$C$1+2019-65,計算!AS$3+1,1),入力!$F$17&lt;=DATE(税率・条件!$C$1+2019-40,計算!AS$3+1,1)),IF(OR(AND(入力!L17="",OR(入力!M17="",入力!M17=2,入力!M17=3)),AND(入力!L17=4,OR(入力!M17="",入力!M17=2,入力!M17=3)),AND(入力!L17=5,OR(入力!M17="",入力!M17=2,入力!M17=3)),AND(入力!L17=6,OR(入力!M17="",入力!M17=2,入力!M17=3)),AND(入力!L17=7,OR(入力!M17="",入力!M17=2,入力!M17=3)),AND(入力!L17=8,OR(入力!M17="",入力!M17=2,入力!M17=3)),AND(入力!L17=9,OR(入力!M17="",入力!M17=2,入力!M17=3)),AND(入力!L17=10,OR(入力!M17="",入力!M17=2,入力!M17=3)),AND(入力!L17=11,OR(入力!M17="",入力!M17=2,入力!M17=3)),AND(入力!L17=12,OR(入力!M17="",入力!M17=2,入力!M17=3)),AND(入力!L17=1,OR(入力!M17="",入力!M17=2,入力!M17=3))),"■",""),""))</f>
        <v/>
      </c>
      <c r="AT7" s="109" t="str">
        <f>IF(入力!$F$17="","",IF(AND(入力!$F$17&gt;DATE(税率・条件!$C$1+2019-65,計算!AT$3+1,1),入力!$F$17&lt;=DATE(税率・条件!$C$1+2019-40,計算!AT$3+1,1)),IF(OR(AND(入力!L17="",OR(入力!M17="",入力!M17=3)),AND(入力!L17=4,OR(入力!M17="",入力!M17=3)),AND(入力!L17=5,OR(入力!M17="",入力!M17=3)),AND(入力!L17=6,OR(入力!M17="",入力!M17=3)),AND(入力!L17=7,OR(入力!M17="",入力!M17=3)),AND(入力!L17=8,OR(入力!M17="",入力!M17=3)),AND(入力!L17=9,OR(入力!M17="",入力!M17=3)),AND(入力!L17=10,OR(入力!M17="",入力!M17=3)),AND(入力!L17=11,OR(入力!M17="",入力!M17=3)),AND(入力!L17=12,OR(入力!M17="",入力!M17=3)),AND(入力!L17=1,OR(入力!M17="",入力!M17=3)),AND(入力!L17=2,OR(入力!M17="",入力!M17=3))),"■",""),""))</f>
        <v/>
      </c>
      <c r="AU7" s="110" t="str">
        <f>IF(入力!$F$17="","",IF(AND(入力!$F$17&gt;DATE(税率・条件!$C$1+2019-65,計算!AU$3+1,1),入力!$F$17&lt;=DATE(税率・条件!$C$1+2019-40,計算!AU$3+1,1)),IF(OR(AND(入力!L17="",入力!M17=""),AND(入力!L17=4,入力!M17=""),AND(入力!L17=5,入力!M17=""),AND(入力!L17=6,入力!M17=""),AND(入力!L17=7,入力!M17=""),AND(入力!L17=8,入力!M17=""),AND(入力!L17=9,入力!M17=""),AND(入力!L17=10,入力!M17=""),AND(入力!L17=11,入力!M17=""),AND(入力!L17=12,入力!M17=""),AND(入力!L17=1,入力!M17=""),AND(入力!L17=2,入力!M17=""),AND(入力!L17=3,入力!M17="")),"■",""),""))</f>
        <v/>
      </c>
      <c r="AY7" s="180" t="s">
        <v>175</v>
      </c>
      <c r="AZ7" s="183">
        <f>ROUND(ROUNDDOWN(IF(AJ$20="",0,$W4),0)/12,2)</f>
        <v>0</v>
      </c>
      <c r="BA7" s="183">
        <f t="shared" ref="BA7:BK7" si="5">ROUND(ROUNDDOWN(IF(AK$20="",0,$W4),0)/12,2)</f>
        <v>0</v>
      </c>
      <c r="BB7" s="183">
        <f t="shared" si="5"/>
        <v>0</v>
      </c>
      <c r="BC7" s="183">
        <f t="shared" si="5"/>
        <v>0</v>
      </c>
      <c r="BD7" s="183">
        <f t="shared" si="5"/>
        <v>0</v>
      </c>
      <c r="BE7" s="183">
        <f t="shared" si="5"/>
        <v>0</v>
      </c>
      <c r="BF7" s="183">
        <f t="shared" si="5"/>
        <v>0</v>
      </c>
      <c r="BG7" s="183">
        <f t="shared" si="5"/>
        <v>0</v>
      </c>
      <c r="BH7" s="183">
        <f t="shared" si="5"/>
        <v>0</v>
      </c>
      <c r="BI7" s="183">
        <f t="shared" si="5"/>
        <v>0</v>
      </c>
      <c r="BJ7" s="183">
        <f t="shared" si="5"/>
        <v>0</v>
      </c>
      <c r="BK7" s="183">
        <f t="shared" si="5"/>
        <v>0</v>
      </c>
      <c r="BL7" s="192">
        <f t="shared" si="0"/>
        <v>0</v>
      </c>
      <c r="BM7" s="184">
        <f t="shared" si="1"/>
        <v>0</v>
      </c>
    </row>
    <row r="8" spans="1:65" ht="18.95" customHeight="1" thickBot="1" x14ac:dyDescent="0.2">
      <c r="A8" s="357" t="str">
        <f>入力!E18</f>
        <v>３</v>
      </c>
      <c r="B8" s="354" t="str">
        <f>IF(入力!F18="","",IF(入力!F18&lt;=DATE(税率・条件!C1+1953,1,1),"65歳以上",IF(入力!F18&gt;DATE(税率・条件!C1+2012,4,1),"未就学","一般")))</f>
        <v/>
      </c>
      <c r="C8" s="359" t="str">
        <f>IF(D8="","",IF(入力!K18="該 当","該当","非該当"))</f>
        <v/>
      </c>
      <c r="D8" s="336" t="str">
        <f>IF(入力!G18="","",ROUNDDOWN(VLOOKUP(入力!G18,$B$24:$J$35,4,1)*IF(入力!K18="該 当",0.3,1),0))</f>
        <v/>
      </c>
      <c r="E8" s="336" t="str">
        <f>IF(D8="","",IF(OR(D8="",K8=""),0,IF(D8+K8&lt;100000,0,IF(D8&lt;100000,D8,100000)+IF(K8&lt;100000,K8,100000)-100000)))</f>
        <v/>
      </c>
      <c r="F8" s="336" t="str">
        <f>IF(D8="","",D8-E8)</f>
        <v/>
      </c>
      <c r="G8" s="350" t="str">
        <f>IF(D8="","",IF(OR(D8="",L8=""),0,IF(D8+L8&lt;100000,0,IF(D8&lt;100000,D8,100000)+IF(L8&lt;100000,L8,100000)-100000)))</f>
        <v/>
      </c>
      <c r="H8" s="348" t="str">
        <f>IF(D8="","",D8-G8)</f>
        <v/>
      </c>
      <c r="I8" s="335" t="str">
        <f>IF(入力!H18="","",IF(B8="65歳以上",VLOOKUP(入力!H18,$B$48:$D$52,2,1),VLOOKUP(入力!H18,$B$40:$D$44,2,1)))</f>
        <v/>
      </c>
      <c r="J8" s="336" t="str">
        <f>IF(I8="","",IF(B8="65歳以上",VLOOKUP(入力!H18,$B$48:$D$52,3,1),VLOOKUP(入力!H18,$B$40:$D$44,3,1)))</f>
        <v/>
      </c>
      <c r="K8" s="336" t="str">
        <f>IF(I8="","",IF(入力!H18*計算!I8/100-計算!J8&lt;0,0,ROUNDDOWN(入力!H18*計算!I8/100-計算!J8,0)))</f>
        <v/>
      </c>
      <c r="L8" s="348" t="str">
        <f>IF(K8="","",IF(B8="65歳以上",IF(K8&lt;税率・条件!$G$9,0,K8-税率・条件!$G$9),K8))</f>
        <v/>
      </c>
      <c r="M8" s="346" t="str">
        <f>IF(入力!I18="","",入力!I18)</f>
        <v/>
      </c>
      <c r="N8" s="335" t="str">
        <f>IF(入力!F18="","",SUM(F8,K8,M8))</f>
        <v/>
      </c>
      <c r="O8" s="336" t="str">
        <f>IF(入力!P18&lt;&gt;"",IF(計算!N8-430000&gt;0,計算!N8-430000,0),"")</f>
        <v/>
      </c>
      <c r="P8" s="337" t="str">
        <f>IF(入力!Q18&lt;&gt;"",IF(計算!N8-430000&gt;0,計算!N8-430000,0),"")</f>
        <v/>
      </c>
      <c r="Q8" s="339" t="str">
        <f>IF(N8="","",IF(AW8&lt;&gt;AW20,"",SUM(H8,L8,M8)))</f>
        <v/>
      </c>
      <c r="R8" s="341" t="str">
        <f>IF(AND(D8="",K8=""),"",IF(AW8&lt;&gt;AW20,"",IF(OR(入力!G18&gt;550000,AND(B8="65歳以上",入力!H18&gt;1250000),AND(B8&lt;&gt;"65歳以上",入力!H18&gt;600000)),1,"")))</f>
        <v/>
      </c>
      <c r="S8" s="307" t="str">
        <f>IF(N8="","",IF(AND(入力!$H$25&lt;&gt;"",入力!$C$19="全員申告済み",$AW$8=$AW$20),"該当",""))</f>
        <v/>
      </c>
      <c r="T8" s="332" t="str">
        <f>IF($O8="","",ROUNDDOWN($O8*税率・条件!$C$4/100,0))</f>
        <v/>
      </c>
      <c r="U8" s="310" t="str">
        <f>IF(入力!$P18="","",ROUNDDOWN(入力!$J18*税率・条件!$C$5/100,0))</f>
        <v/>
      </c>
      <c r="V8" s="310" t="str">
        <f>IF(入力!$P18="","",ROUNDDOWN(税率・条件!$C$6*(100%-IF(B8="未就学",税率・条件!$H$11,0%))*(100%-$M$34),0))</f>
        <v/>
      </c>
      <c r="W8" s="325"/>
      <c r="X8" s="315" t="str">
        <f t="shared" si="2"/>
        <v/>
      </c>
      <c r="Y8" s="313" t="str">
        <f>IF($O8="","",ROUNDDOWN($O8*税率・条件!$C$9/100,0))</f>
        <v/>
      </c>
      <c r="Z8" s="310" t="str">
        <f>IF(入力!$P18="","",ROUNDDOWN(入力!$J18*税率・条件!$C$10/100,0))</f>
        <v/>
      </c>
      <c r="AA8" s="310" t="str">
        <f>IF(入力!$P18="","",ROUNDDOWN(税率・条件!$C$11*(100%-IF(B8="未就学",税率・条件!$H$11,0%))*(100%-$M$34),0))</f>
        <v/>
      </c>
      <c r="AB8" s="325"/>
      <c r="AC8" s="315" t="str">
        <f t="shared" ref="AC8:AC18" si="6">IF(SUM(Y8:AB8)&gt;0,SUM(Y8:AB8),"")</f>
        <v/>
      </c>
      <c r="AD8" s="313" t="str">
        <f>IF($P8="","",ROUNDDOWN($P8*税率・条件!$C$14/100,0))</f>
        <v/>
      </c>
      <c r="AE8" s="310" t="str">
        <f>IF(入力!$Q18="","",ROUNDDOWN(入力!$J18*税率・条件!$C$15/100,0))</f>
        <v/>
      </c>
      <c r="AF8" s="310" t="str">
        <f>IF(入力!$Q18="","",ROUNDDOWN(税率・条件!$C$16*(100%-$M$34),0))</f>
        <v/>
      </c>
      <c r="AG8" s="325"/>
      <c r="AH8" s="315" t="str">
        <f t="shared" si="3"/>
        <v/>
      </c>
      <c r="AI8" s="107" t="str">
        <f>IF(入力!$F$18="","",COUNTIF(AJ8:AU8,"●"))</f>
        <v/>
      </c>
      <c r="AJ8" s="111" t="str">
        <f>IF(入力!$F$18="","",IF(入力!$F$18&gt;=DATE(税率・条件!$C$1+2018,計算!AJ$3+1,1),"",IF(入力!$F$18&gt;=DATE(税率・条件!$C$1+2018-75,計算!AJ$3+1,1),IF(OR(AND(入力!L18="",OR(入力!M18="",入力!M18&gt;4,入力!M18&lt;4)),AND(入力!L18=4,OR(入力!M18="",入力!M18&gt;4,入力!M18&lt;4))),"●",""),"")))</f>
        <v/>
      </c>
      <c r="AK8" s="111" t="str">
        <f>IF(入力!$F$18="","",IF(入力!$F$18&gt;=DATE(税率・条件!$C$1+2018,計算!AK$3+1,1),"",IF(入力!$F$18&gt;=DATE(税率・条件!$C$1+2018-75,計算!AK$3+1,1),IF(OR(AND(入力!L18="",OR(入力!M18="",入力!M18&gt;5,入力!M18&lt;4)),AND(入力!L18=4,OR(入力!M18="",入力!M18&gt;5,入力!M18&lt;4)),AND(入力!L18=5,OR(入力!M18="",入力!M18&gt;5,入力!M18&lt;4))),"●",""),"")))</f>
        <v/>
      </c>
      <c r="AL8" s="111" t="str">
        <f>IF(入力!$F$18="","",IF(入力!$F$18&gt;=DATE(税率・条件!$C$1+2018,計算!AL$3+1,1),"",IF(入力!$F$18&gt;=DATE(税率・条件!$C$1+2018-75,計算!AL$3+1,1),IF(OR(AND(入力!L18="",OR(入力!M18="",入力!M18&gt;6,入力!M18&lt;4)),AND(入力!L18=4,OR(入力!M18="",入力!M18&gt;6,入力!M18&lt;4)),AND(入力!L18=5,OR(入力!M18="",入力!M18&gt;6,入力!M18&lt;4)),AND(入力!L18=6,OR(入力!M18="",入力!M18&gt;6,入力!M18&lt;4))),"●",""),"")))</f>
        <v/>
      </c>
      <c r="AM8" s="111" t="str">
        <f>IF(入力!$F$18="","",IF(入力!$F$18&gt;=DATE(税率・条件!$C$1+2018,計算!AM$3+1,1),"",IF(入力!$F$18&gt;=DATE(税率・条件!$C$1+2018-75,計算!AM$3+1,1),IF(OR(AND(入力!L18="",OR(入力!M18="",入力!M18&gt;7,入力!M18&lt;4)),AND(入力!L18=4,OR(入力!M18="",入力!M18&gt;7,入力!M18&lt;4)),AND(入力!L18=5,OR(入力!M18="",入力!M18&gt;7,入力!M18&lt;4)),AND(入力!L18=6,OR(入力!M18="",入力!M18&gt;7,入力!M18&lt;4)),AND(入力!L18=7,OR(入力!M18="",入力!M18&gt;7,入力!M18&lt;4))),"●",""),"")))</f>
        <v/>
      </c>
      <c r="AN8" s="111" t="str">
        <f>IF(入力!$F$18="","",IF(入力!$F$18&gt;=DATE(税率・条件!$C$1+2018,計算!AN$3+1,1),"",IF(入力!$F$18&gt;=DATE(税率・条件!$C$1+2018-75,計算!AN$3+1,1),IF(OR(AND(入力!L18="",OR(入力!M18="",入力!M18&gt;8,入力!M18&lt;4)),AND(入力!L18=4,OR(入力!M18="",入力!M18&gt;8,入力!M18&lt;4)),AND(入力!L18=5,OR(入力!M18="",入力!M18&gt;8,入力!M18&lt;4)),AND(入力!L18=6,OR(入力!M18="",入力!M18&gt;8,入力!M18&lt;4)),AND(入力!L18=7,OR(入力!M18="",入力!M18&gt;8,入力!M18&lt;4)),AND(入力!L18=8,OR(入力!M18="",入力!M18&gt;8,入力!M18&lt;4))),"●",""),"")))</f>
        <v/>
      </c>
      <c r="AO8" s="111" t="str">
        <f>IF(入力!$F$18="","",IF(入力!$F$18&gt;=DATE(税率・条件!$C$1+2018,計算!AO$3+1,1),"",IF(入力!$F$18&gt;=DATE(税率・条件!$C$1+2018-75,計算!AO$3+1,1),IF(OR(AND(入力!L18="",OR(入力!M18="",入力!M18&gt;9,入力!M18&lt;4)),AND(入力!L18=4,OR(入力!M18="",入力!M18&gt;9,入力!M18&lt;4)),AND(入力!L18=5,OR(入力!M18="",入力!M18&gt;9,入力!M18&lt;4)),AND(入力!L18=6,OR(入力!M18="",入力!M18&gt;9,入力!M18&lt;4)),AND(入力!L18=7,OR(入力!M18="",入力!M18&gt;9,入力!M18&lt;4)),AND(入力!L18=8,OR(入力!M18="",入力!M18&gt;9,入力!M18&lt;4)),AND(入力!L18=9,OR(入力!M18="",入力!M18&gt;9,入力!M18&lt;4))),"●",""),"")))</f>
        <v/>
      </c>
      <c r="AP8" s="111" t="str">
        <f>IF(入力!$F$18="","",IF(入力!$F$18&gt;=DATE(税率・条件!$C$1+2018,計算!AP$3+1,1),"",IF(入力!$F$18&gt;=DATE(税率・条件!$C$1+2018-75,計算!AP$3+1,1),IF(OR(AND(入力!L18="",OR(入力!M18="",入力!M18&gt;10,入力!M18&lt;4)),AND(入力!L18=4,OR(入力!M18="",入力!M18&gt;10,入力!M18&lt;4)),AND(入力!L18=5,OR(入力!M18="",入力!M18&gt;10,入力!M18&lt;4)),AND(入力!L18=6,OR(入力!M18="",入力!M18&gt;10,入力!M18&lt;4)),AND(入力!L18=7,OR(入力!M18="",入力!M18&gt;10,入力!M18&lt;4)),AND(入力!L18=8,OR(入力!M18="",入力!M18&gt;10,入力!M18&lt;4)),AND(入力!L18=9,OR(入力!M18="",入力!M18&gt;10,入力!M18&lt;4)),AND(入力!L18=10,OR(入力!M18="",入力!M18&gt;10,入力!M18&lt;4))),"●",""),"")))</f>
        <v/>
      </c>
      <c r="AQ8" s="111" t="str">
        <f>IF(入力!$F$18="","",IF(入力!$F$18&gt;=DATE(税率・条件!$C$1+2018,計算!AQ$3+1,1),"",IF(入力!$F$18&gt;=DATE(税率・条件!$C$1+2018-75,計算!AQ$3+1,1),IF(OR(AND(入力!L18="",OR(入力!M18="",入力!M18&gt;11,入力!M18&lt;4)),AND(入力!L18=4,OR(入力!M18="",入力!M18&gt;11,入力!M18&lt;4)),AND(入力!L18=5,OR(入力!M18="",入力!M18&gt;11,入力!M18&lt;4)),AND(入力!L18=6,OR(入力!M18="",入力!M18&gt;11,入力!M18&lt;4)),AND(入力!L18=7,OR(入力!M18="",入力!M18&gt;11,入力!M18&lt;4)),AND(入力!L18=8,OR(入力!M18="",入力!M18&gt;11,入力!M18&lt;4)),AND(入力!L18=9,OR(入力!M18="",入力!M18&gt;11,入力!M18&lt;4)),AND(入力!L18=10,OR(入力!M18="",入力!M18&gt;11,入力!M18&lt;4)),AND(入力!L18=11,OR(入力!M18="",入力!M18&gt;11,入力!M18&lt;4))),"●",""),"")))</f>
        <v/>
      </c>
      <c r="AR8" s="111" t="str">
        <f>IF(入力!$F$18="","",IF(入力!$F$18&gt;=DATE(税率・条件!$C$1+2018,計算!AR$3+1,1),"",IF(入力!$F$18&gt;=DATE(税率・条件!$C$1+2018-75,計算!AR$3+1,1),IF(OR(AND(入力!L18="",OR(入力!M18="",入力!M18&gt;12,入力!M18&lt;4)),AND(入力!L18=4,OR(入力!M18="",入力!M18&gt;12,入力!M18&lt;4)),AND(入力!L18=5,OR(入力!M18="",入力!M18&gt;12,入力!M18&lt;4)),AND(入力!L18=6,OR(入力!M18="",入力!M18&gt;12,入力!M18&lt;4)),AND(入力!L18=7,OR(入力!M18="",入力!M18&gt;12,入力!M18&lt;4)),AND(入力!L18=8,OR(入力!M18="",入力!M18&gt;12,入力!M18&lt;4)),AND(入力!L18=9,OR(入力!M18="",入力!M18&gt;12,入力!M18&lt;4)),AND(入力!L18=10,OR(入力!M18="",入力!M18&gt;12,入力!M18&lt;4)),AND(入力!L18=11,OR(入力!M18="",入力!M18&gt;12,入力!M18&lt;4)),AND(入力!L18=12,OR(入力!M18="",入力!M18&gt;12,入力!M18&lt;4))),"●",""),"")))</f>
        <v/>
      </c>
      <c r="AS8" s="111" t="str">
        <f>IF(入力!$F$18="","",IF(入力!$F$18&gt;=DATE(税率・条件!$C$1+2019,計算!AS$3+1,1),"",IF(入力!$F$18&gt;=DATE(税率・条件!$C$1+2019-75,計算!AS$3+1,1),IF(OR(AND(入力!L18="",OR(入力!M18="",入力!M18=2,入力!M18=3)),AND(入力!L18=4,OR(入力!M18="",入力!M18=2,入力!M18=3)),AND(入力!L18=5,OR(入力!M18="",入力!M18=2,入力!M18=3)),AND(入力!L18=6,OR(入力!M18="",入力!M18=2,入力!M18=3)),AND(入力!L18=7,OR(入力!M18="",入力!M18=2,入力!M18=3)),AND(入力!L18=8,OR(入力!M18="",入力!M18=2,入力!M18=3)),AND(入力!L18=9,OR(入力!M18="",入力!M18=2,入力!M18=3)),AND(入力!L18=10,OR(入力!M18="",入力!M18=2,入力!M18=3)),AND(入力!L18=11,OR(入力!M18="",入力!M18=2,入力!M18=3)),AND(入力!L18=12,OR(入力!M18="",入力!M18=2,入力!M18=3)),AND(入力!L18=1,OR(入力!M18="",入力!M18=2,入力!M18=3))),"●",""),"")))</f>
        <v/>
      </c>
      <c r="AT8" s="111" t="str">
        <f>IF(入力!$F$18="","",IF(入力!$F$18&gt;=DATE(税率・条件!$C$1+2019,計算!AT$3+1,1),"",IF(入力!$F$18&gt;=DATE(税率・条件!$C$1+2019-75,計算!AT$3+1,1),IF(OR(AND(入力!L18="",OR(入力!M18="",入力!M18=3)),AND(入力!L18=4,OR(入力!M18="",入力!M18=3)),AND(入力!L18=5,OR(入力!M18="",入力!M18=3)),AND(入力!L18=6,OR(入力!M18="",入力!M18=3)),AND(入力!L18=7,OR(入力!M18="",入力!M18=3)),AND(入力!L18=8,OR(入力!M18="",入力!M18=3)),AND(入力!L18=9,OR(入力!M18="",入力!M18=3)),AND(入力!L18=10,OR(入力!M18="",入力!M18=3)),AND(入力!L18=11,OR(入力!M18="",入力!M18=3)),AND(入力!L18=12,OR(入力!M18="",入力!M18=3)),AND(入力!L18=1,OR(入力!M18="",入力!M18=3)),AND(入力!L18=2,OR(入力!M18="",入力!M18=3))),"●",""),"")))</f>
        <v/>
      </c>
      <c r="AU8" s="112" t="str">
        <f>IF(入力!$F$18="","",IF(入力!$F$18&gt;=DATE(税率・条件!$C$1+2019,計算!AU$3+1,1),"",IF(入力!$F$18&gt;=DATE(税率・条件!$C$1+2019-75,計算!AU$3+1,1),IF(OR(AND(入力!L18="",入力!M18=""),AND(入力!L18=4,入力!M18=""),AND(入力!L18=5,入力!M18=""),AND(入力!L18=6,入力!M18=""),AND(入力!L18=7,入力!M18=""),AND(入力!L18=8,入力!M18=""),AND(入力!L18=9,入力!M18=""),AND(入力!L18=10,入力!M18=""),AND(入力!L18=11,入力!M18=""),AND(入力!L18=12,入力!M18=""),AND(入力!L18=1,入力!M18=""),AND(入力!L18=2,入力!M18=""),AND(入力!L18=3,入力!M18="")),"●",""),"")))</f>
        <v/>
      </c>
      <c r="AW8" s="94" t="str">
        <f>IF(AND(AJ$20=1,AJ8="●"),4,IF(AND(AK$20=1,AK8="●"),5,IF(AND(AL$20=1,AL8="●"),6,IF(AND(AM$20=1,AM8="●"),7,IF(AND(AN$20=1,AN8="●"),8,IF(AND(AO$20=1,AO8="●"),9,IF(AND(AP$20=1,AP8="●"),10,IF(AND(AQ$20=1,AQ8="●"),11,IF(AND(AR$20=1,AR8="●"),12,IF(AND(AS$20=1,AS8="●"),1,IF(AND(AT$20=1,AT8="●"),2,IF(AND(AU$20=1,AU8="●"),3,""))))))))))))</f>
        <v/>
      </c>
      <c r="AY8" s="181" t="s">
        <v>186</v>
      </c>
      <c r="AZ8" s="185">
        <f>SUM(AZ4:AZ7)</f>
        <v>0</v>
      </c>
      <c r="BA8" s="185">
        <f t="shared" ref="BA8:BK8" si="7">SUM(BA4:BA7)</f>
        <v>0</v>
      </c>
      <c r="BB8" s="185">
        <f t="shared" si="7"/>
        <v>0</v>
      </c>
      <c r="BC8" s="185">
        <f t="shared" si="7"/>
        <v>0</v>
      </c>
      <c r="BD8" s="185">
        <f t="shared" si="7"/>
        <v>0</v>
      </c>
      <c r="BE8" s="185">
        <f t="shared" si="7"/>
        <v>0</v>
      </c>
      <c r="BF8" s="185">
        <f t="shared" si="7"/>
        <v>0</v>
      </c>
      <c r="BG8" s="185">
        <f t="shared" si="7"/>
        <v>0</v>
      </c>
      <c r="BH8" s="185">
        <f t="shared" si="7"/>
        <v>0</v>
      </c>
      <c r="BI8" s="185">
        <f t="shared" si="7"/>
        <v>0</v>
      </c>
      <c r="BJ8" s="185">
        <f t="shared" si="7"/>
        <v>0</v>
      </c>
      <c r="BK8" s="185">
        <f t="shared" si="7"/>
        <v>0</v>
      </c>
      <c r="BL8" s="185">
        <f>SUM(AZ8:BK8)</f>
        <v>0</v>
      </c>
      <c r="BM8" s="186">
        <f>ROUNDDOWN(ROUND(BL8,1),0)</f>
        <v>0</v>
      </c>
    </row>
    <row r="9" spans="1:65" ht="18.95" customHeight="1" x14ac:dyDescent="0.15">
      <c r="A9" s="358"/>
      <c r="B9" s="355"/>
      <c r="C9" s="360"/>
      <c r="D9" s="311"/>
      <c r="E9" s="311"/>
      <c r="F9" s="311"/>
      <c r="G9" s="353"/>
      <c r="H9" s="349"/>
      <c r="I9" s="314"/>
      <c r="J9" s="311"/>
      <c r="K9" s="311"/>
      <c r="L9" s="349"/>
      <c r="M9" s="347"/>
      <c r="N9" s="314"/>
      <c r="O9" s="311"/>
      <c r="P9" s="338"/>
      <c r="Q9" s="340"/>
      <c r="R9" s="342"/>
      <c r="S9" s="308"/>
      <c r="T9" s="334"/>
      <c r="U9" s="311"/>
      <c r="V9" s="311"/>
      <c r="W9" s="328"/>
      <c r="X9" s="316"/>
      <c r="Y9" s="314"/>
      <c r="Z9" s="311"/>
      <c r="AA9" s="311"/>
      <c r="AB9" s="328"/>
      <c r="AC9" s="316"/>
      <c r="AD9" s="314"/>
      <c r="AE9" s="311"/>
      <c r="AF9" s="311"/>
      <c r="AG9" s="328"/>
      <c r="AH9" s="316"/>
      <c r="AI9" s="108" t="str">
        <f>IF(入力!$F$18="","",COUNTIF(AJ9:AU9,"■"))</f>
        <v/>
      </c>
      <c r="AJ9" s="109" t="str">
        <f>IF(入力!$F$18="","",IF(AND(入力!$F$18&gt;DATE(税率・条件!$C$1+2018-65,計算!AJ$3+1,1),入力!$F$18&lt;=DATE(税率・条件!$C$1+2018-40,計算!AJ$3+1,1)),IF(OR(AND(入力!L18="",OR(入力!M18="",入力!M18&gt;4,入力!M18&lt;4)),AND(入力!L18=4,OR(入力!M18="",入力!M18&gt;4,入力!M18&lt;4))),"■",""),""))</f>
        <v/>
      </c>
      <c r="AK9" s="109" t="str">
        <f>IF(入力!$F$18="","",IF(AND(入力!$F$18&gt;DATE(税率・条件!$C$1+2018-65,計算!AK$3+1,1),入力!$F$18&lt;=DATE(税率・条件!$C$1+2018-40,計算!AK$3+1,1)),IF(OR(AND(入力!L18="",OR(入力!M18="",入力!M18&gt;5,入力!M18&lt;4)),AND(入力!L18=4,OR(入力!M18="",入力!M18&gt;5,入力!M18&lt;4)),AND(入力!L18=5,OR(入力!M18="",入力!M18&gt;5,入力!M18&lt;4))),"■",""),""))</f>
        <v/>
      </c>
      <c r="AL9" s="109" t="str">
        <f>IF(入力!$F$18="","",IF(AND(入力!$F$18&gt;DATE(税率・条件!$C$1+2018-65,計算!AL$3+1,1),入力!$F$18&lt;=DATE(税率・条件!$C$1+2018-40,計算!AL$3+1,1)),IF(OR(AND(入力!L18="",OR(入力!M18="",入力!M18&gt;6,入力!M18&lt;4)),AND(入力!L18=4,OR(入力!M18="",入力!M18&gt;6,入力!M18&lt;4)),AND(入力!L18=5,OR(入力!M18="",入力!M18&gt;6,入力!M18&lt;4)),AND(入力!L18=6,OR(入力!M18="",入力!M18&gt;6,入力!M18&lt;4))),"■",""),""))</f>
        <v/>
      </c>
      <c r="AM9" s="109" t="str">
        <f>IF(入力!$F$18="","",IF(AND(入力!$F$18&gt;DATE(税率・条件!$C$1+2018-65,計算!AM$3+1,1),入力!$F$18&lt;=DATE(税率・条件!$C$1+2018-40,計算!AM$3+1,1)),IF(OR(AND(入力!L18="",OR(入力!M18="",入力!M18&gt;7,入力!M18&lt;4)),AND(入力!L18=4,OR(入力!M18="",入力!M18&gt;7,入力!M18&lt;4)),AND(入力!L18=5,OR(入力!M18="",入力!M18&gt;7,入力!M18&lt;4)),AND(入力!L18=6,OR(入力!M18="",入力!M18&gt;7,入力!M18&lt;4)),AND(入力!L18=7,OR(入力!M18="",入力!M18&gt;7,入力!M18&lt;4))),"■",""),""))</f>
        <v/>
      </c>
      <c r="AN9" s="109" t="str">
        <f>IF(入力!$F$18="","",IF(AND(入力!$F$18&gt;DATE(税率・条件!$C$1+2018-65,計算!AN$3+1,1),入力!$F$18&lt;=DATE(税率・条件!$C$1+2018-40,計算!AN$3+1,1)),IF(OR(AND(入力!L18="",OR(入力!M18="",入力!M18&gt;8,入力!M18&lt;4)),AND(入力!L18=4,OR(入力!M18="",入力!M18&gt;8,入力!M18&lt;4)),AND(入力!L18=5,OR(入力!M18="",入力!M18&gt;8,入力!M18&lt;4)),AND(入力!L18=6,OR(入力!M18="",入力!M18&gt;8,入力!M18&lt;4)),AND(入力!L18=7,OR(入力!M18="",入力!M18&gt;8,入力!M18&lt;4)),AND(入力!L18=8,OR(入力!M18="",入力!M18&gt;8,入力!M18&lt;4))),"■",""),""))</f>
        <v/>
      </c>
      <c r="AO9" s="109" t="str">
        <f>IF(入力!$F$18="","",IF(AND(入力!$F$18&gt;DATE(税率・条件!$C$1+2018-65,計算!AO$3+1,1),入力!$F$18&lt;=DATE(税率・条件!$C$1+2018-40,計算!AO$3+1,1)),IF(OR(AND(入力!L18="",OR(入力!M18="",入力!M18&gt;9,入力!M18&lt;4)),AND(入力!L18=4,OR(入力!M18="",入力!M18&gt;9,入力!M18&lt;4)),AND(入力!L18=5,OR(入力!M18="",入力!M18&gt;9,入力!M18&lt;4)),AND(入力!L18=6,OR(入力!M18="",入力!M18&gt;9,入力!M18&lt;4)),AND(入力!L18=7,OR(入力!M18="",入力!M18&gt;9,入力!M18&lt;4)),AND(入力!L18=8,OR(入力!M18="",入力!M18&gt;9,入力!M18&lt;4)),AND(入力!L18=9,OR(入力!M18="",入力!M18&gt;9,入力!M18&lt;4))),"■",""),""))</f>
        <v/>
      </c>
      <c r="AP9" s="109" t="str">
        <f>IF(入力!$F$18="","",IF(AND(入力!$F$18&gt;DATE(税率・条件!$C$1+2018-65,計算!AP$3+1,1),入力!$F$18&lt;=DATE(税率・条件!$C$1+2018-40,計算!AP$3+1,1)),IF(OR(AND(入力!L18="",OR(入力!M18="",入力!M18&gt;10,入力!M18&lt;4)),AND(入力!L18=4,OR(入力!M18="",入力!M18&gt;10,入力!M18&lt;4)),AND(入力!L18=5,OR(入力!M18="",入力!M18&gt;10,入力!M18&lt;4)),AND(入力!L18=6,OR(入力!M18="",入力!M18&gt;10,入力!M18&lt;4)),AND(入力!L18=7,OR(入力!M18="",入力!M18&gt;10,入力!M18&lt;4)),AND(入力!L18=8,OR(入力!M18="",入力!M18&gt;10,入力!M18&lt;4)),AND(入力!L18=9,OR(入力!M18="",入力!M18&gt;10,入力!M18&lt;4)),AND(入力!L18=10,OR(入力!M18="",入力!M18&gt;10,入力!M18&lt;4))),"■",""),""))</f>
        <v/>
      </c>
      <c r="AQ9" s="109" t="str">
        <f>IF(入力!$F$18="","",IF(AND(入力!$F$18&gt;DATE(税率・条件!$C$1+2018-65,計算!AQ$3+1,1),入力!$F$18&lt;=DATE(税率・条件!$C$1+2018-40,計算!AQ$3+1,1)),IF(OR(AND(入力!L18="",OR(入力!M18="",入力!M18&gt;11,入力!M18&lt;4)),AND(入力!L18=4,OR(入力!M18="",入力!M18&gt;11,入力!M18&lt;4)),AND(入力!L18=5,OR(入力!M18="",入力!M18&gt;11,入力!M18&lt;4)),AND(入力!L18=6,OR(入力!M18="",入力!M18&gt;11,入力!M18&lt;4)),AND(入力!L18=7,OR(入力!M18="",入力!M18&gt;11,入力!M18&lt;4)),AND(入力!L18=8,OR(入力!M18="",入力!M18&gt;11,入力!M18&lt;4)),AND(入力!L18=9,OR(入力!M18="",入力!M18&gt;11,入力!M18&lt;4)),AND(入力!L18=10,OR(入力!M18="",入力!M18&gt;11,入力!M18&lt;4)),AND(入力!L18=11,OR(入力!M18="",入力!M18&gt;11,入力!M18&lt;4))),"■",""),""))</f>
        <v/>
      </c>
      <c r="AR9" s="109" t="str">
        <f>IF(入力!$F$18="","",IF(AND(入力!$F$18&gt;DATE(税率・条件!$C$1+2018-65,計算!AR$3+1,1),入力!$F$18&lt;=DATE(税率・条件!$C$1+2018-40,計算!AR$3+1,1)),IF(OR(AND(入力!L18="",OR(入力!M18="",入力!M18&gt;12,入力!M18&lt;4)),AND(入力!L18=4,OR(入力!M18="",入力!M18&gt;12,入力!M18&lt;4)),AND(入力!L18=5,OR(入力!M18="",入力!M18&gt;12,入力!M18&lt;4)),AND(入力!L18=6,OR(入力!M18="",入力!M18&gt;12,入力!M18&lt;4)),AND(入力!L18=7,OR(入力!M18="",入力!M18&gt;12,入力!M18&lt;4)),AND(入力!L18=8,OR(入力!M18="",入力!M18&gt;12,入力!M18&lt;4)),AND(入力!L18=9,OR(入力!M18="",入力!M18&gt;12,入力!M18&lt;4)),AND(入力!L18=10,OR(入力!M18="",入力!M18&gt;12,入力!M18&lt;4)),AND(入力!L18=11,OR(入力!M18="",入力!M18&gt;12,入力!M18&lt;4)),AND(入力!L18=12,OR(入力!M18="",入力!M18&gt;12,入力!M18&lt;4))),"■",""),""))</f>
        <v/>
      </c>
      <c r="AS9" s="109" t="str">
        <f>IF(入力!$F$18="","",IF(AND(入力!$F$18&gt;DATE(税率・条件!$C$1+2019-65,計算!AS$3+1,1),入力!$F$18&lt;=DATE(税率・条件!$C$1+2019-40,計算!AS$3+1,1)),IF(OR(AND(入力!L18="",OR(入力!M18="",入力!M18=2,入力!M18=3)),AND(入力!L18=4,OR(入力!M18="",入力!M18=2,入力!M18=3)),AND(入力!L18=5,OR(入力!M18="",入力!M18=2,入力!M18=3)),AND(入力!L18=6,OR(入力!M18="",入力!M18=2,入力!M18=3)),AND(入力!L18=7,OR(入力!M18="",入力!M18=2,入力!M18=3)),AND(入力!L18=8,OR(入力!M18="",入力!M18=2,入力!M18=3)),AND(入力!L18=9,OR(入力!M18="",入力!M18=2,入力!M18=3)),AND(入力!L18=10,OR(入力!M18="",入力!M18=2,入力!M18=3)),AND(入力!L18=11,OR(入力!M18="",入力!M18=2,入力!M18=3)),AND(入力!L18=12,OR(入力!M18="",入力!M18=2,入力!M18=3)),AND(入力!L18=1,OR(入力!M18="",入力!M18=2,入力!M18=3))),"■",""),""))</f>
        <v/>
      </c>
      <c r="AT9" s="109" t="str">
        <f>IF(入力!$F$18="","",IF(AND(入力!$F$18&gt;DATE(税率・条件!$C$1+2019-65,計算!AT$3+1,1),入力!$F$18&lt;=DATE(税率・条件!$C$1+2019-40,計算!AT$3+1,1)),IF(OR(AND(入力!L18="",OR(入力!M18="",入力!M18=3)),AND(入力!L18=4,OR(入力!M18="",入力!M18=3)),AND(入力!L18=5,OR(入力!M18="",入力!M18=3)),AND(入力!L18=6,OR(入力!M18="",入力!M18=3)),AND(入力!L18=7,OR(入力!M18="",入力!M18=3)),AND(入力!L18=8,OR(入力!M18="",入力!M18=3)),AND(入力!L18=9,OR(入力!M18="",入力!M18=3)),AND(入力!L18=10,OR(入力!M18="",入力!M18=3)),AND(入力!L18=11,OR(入力!M18="",入力!M18=3)),AND(入力!L18=12,OR(入力!M18="",入力!M18=3)),AND(入力!L18=1,OR(入力!M18="",入力!M18=3)),AND(入力!L18=2,OR(入力!M18="",入力!M18=3))),"■",""),""))</f>
        <v/>
      </c>
      <c r="AU9" s="110" t="str">
        <f>IF(入力!$F$18="","",IF(AND(入力!$F$18&gt;DATE(税率・条件!$C$1+2019-65,計算!AU$3+1,1),入力!$F$18&lt;=DATE(税率・条件!$C$1+2019-40,計算!AU$3+1,1)),IF(OR(AND(入力!L18="",入力!M18=""),AND(入力!L18=4,入力!M18=""),AND(入力!L18=5,入力!M18=""),AND(入力!L18=6,入力!M18=""),AND(入力!L18=7,入力!M18=""),AND(入力!L18=8,入力!M18=""),AND(入力!L18=9,入力!M18=""),AND(入力!L18=10,入力!M18=""),AND(入力!L18=11,入力!M18=""),AND(入力!L18=12,入力!M18=""),AND(入力!L18=1,入力!M18=""),AND(入力!L18=2,入力!M18=""),AND(入力!L18=3,入力!M18="")),"■",""),""))</f>
        <v/>
      </c>
      <c r="AY9" s="178" t="s">
        <v>176</v>
      </c>
      <c r="AZ9" s="187">
        <f>ROUND(ROUNDDOWN((IF(AJ$4="",0,$O4)+IF(AJ$6="",0,$O6)+IF(AJ$8="",0,$O8)+IF(AJ$10="",0,$O10)+IF(AJ$12="",0,$O12)+IF(AJ$14="",0,$O14)+IF(AJ$16="",0,$O16)+IF(AJ$18="",0,$O18))*税率・条件!$C$9/100,0)/12,2)</f>
        <v>0</v>
      </c>
      <c r="BA9" s="187">
        <f>ROUND(ROUNDDOWN((IF(AK$4="",0,$O4)+IF(AK$6="",0,$O6)+IF(AK$8="",0,$O8)+IF(AK$10="",0,$O10)+IF(AK$12="",0,$O12)+IF(AK$14="",0,$O14)+IF(AK$16="",0,$O16)+IF(AK$18="",0,$O18))*税率・条件!$C$9/100,0)/12,2)</f>
        <v>0</v>
      </c>
      <c r="BB9" s="187">
        <f>ROUND(ROUNDDOWN((IF(AL$4="",0,$O4)+IF(AL$6="",0,$O6)+IF(AL$8="",0,$O8)+IF(AL$10="",0,$O10)+IF(AL$12="",0,$O12)+IF(AL$14="",0,$O14)+IF(AL$16="",0,$O16)+IF(AL$18="",0,$O18))*税率・条件!$C$9/100,0)/12,2)</f>
        <v>0</v>
      </c>
      <c r="BC9" s="187">
        <f>ROUND(ROUNDDOWN((IF(AM$4="",0,$O4)+IF(AM$6="",0,$O6)+IF(AM$8="",0,$O8)+IF(AM$10="",0,$O10)+IF(AM$12="",0,$O12)+IF(AM$14="",0,$O14)+IF(AM$16="",0,$O16)+IF(AM$18="",0,$O18))*税率・条件!$C$9/100,0)/12,2)</f>
        <v>0</v>
      </c>
      <c r="BD9" s="187">
        <f>ROUND(ROUNDDOWN((IF(AN$4="",0,$O4)+IF(AN$6="",0,$O6)+IF(AN$8="",0,$O8)+IF(AN$10="",0,$O10)+IF(AN$12="",0,$O12)+IF(AN$14="",0,$O14)+IF(AN$16="",0,$O16)+IF(AN$18="",0,$O18))*税率・条件!$C$9/100,0)/12,2)</f>
        <v>0</v>
      </c>
      <c r="BE9" s="187">
        <f>ROUND(ROUNDDOWN((IF(AO$4="",0,$O4)+IF(AO$6="",0,$O6)+IF(AO$8="",0,$O8)+IF(AO$10="",0,$O10)+IF(AO$12="",0,$O12)+IF(AO$14="",0,$O14)+IF(AO$16="",0,$O16)+IF(AO$18="",0,$O18))*税率・条件!$C$9/100,0)/12,2)</f>
        <v>0</v>
      </c>
      <c r="BF9" s="187">
        <f>ROUND(ROUNDDOWN((IF(AP$4="",0,$O4)+IF(AP$6="",0,$O6)+IF(AP$8="",0,$O8)+IF(AP$10="",0,$O10)+IF(AP$12="",0,$O12)+IF(AP$14="",0,$O14)+IF(AP$16="",0,$O16)+IF(AP$18="",0,$O18))*税率・条件!$C$9/100,0)/12,2)</f>
        <v>0</v>
      </c>
      <c r="BG9" s="187">
        <f>ROUND(ROUNDDOWN((IF(AQ$4="",0,$O4)+IF(AQ$6="",0,$O6)+IF(AQ$8="",0,$O8)+IF(AQ$10="",0,$O10)+IF(AQ$12="",0,$O12)+IF(AQ$14="",0,$O14)+IF(AQ$16="",0,$O16)+IF(AQ$18="",0,$O18))*税率・条件!$C$9/100,0)/12,2)</f>
        <v>0</v>
      </c>
      <c r="BH9" s="187">
        <f>ROUND(ROUNDDOWN((IF(AR$4="",0,$O4)+IF(AR$6="",0,$O6)+IF(AR$8="",0,$O8)+IF(AR$10="",0,$O10)+IF(AR$12="",0,$O12)+IF(AR$14="",0,$O14)+IF(AR$16="",0,$O16)+IF(AR$18="",0,$O18))*税率・条件!$C$9/100,0)/12,2)</f>
        <v>0</v>
      </c>
      <c r="BI9" s="187">
        <f>ROUND(ROUNDDOWN((IF(AS$4="",0,$O4)+IF(AS$6="",0,$O6)+IF(AS$8="",0,$O8)+IF(AS$10="",0,$O10)+IF(AS$12="",0,$O12)+IF(AS$14="",0,$O14)+IF(AS$16="",0,$O16)+IF(AS$18="",0,$O18))*税率・条件!$C$9/100,0)/12,2)</f>
        <v>0</v>
      </c>
      <c r="BJ9" s="187">
        <f>ROUND(ROUNDDOWN((IF(AT$4="",0,$O4)+IF(AT$6="",0,$O6)+IF(AT$8="",0,$O8)+IF(AT$10="",0,$O10)+IF(AT$12="",0,$O12)+IF(AT$14="",0,$O14)+IF(AT$16="",0,$O16)+IF(AT$18="",0,$O18))*税率・条件!$C$9/100,0)/12,2)</f>
        <v>0</v>
      </c>
      <c r="BK9" s="187">
        <f>ROUND(ROUNDDOWN((IF(AU$4="",0,$O4)+IF(AU$6="",0,$O6)+IF(AU$8="",0,$O8)+IF(AU$10="",0,$O10)+IF(AU$12="",0,$O12)+IF(AU$14="",0,$O14)+IF(AU$16="",0,$O16)+IF(AU$18="",0,$O18))*税率・条件!$C$9/100,0)/12,2)</f>
        <v>0</v>
      </c>
      <c r="BL9" s="191">
        <f t="shared" ref="BL9:BL12" si="8">SUM(AZ9:BK9)</f>
        <v>0</v>
      </c>
      <c r="BM9" s="182">
        <f>ROUNDDOWN(ROUND(BL9,1),0)</f>
        <v>0</v>
      </c>
    </row>
    <row r="10" spans="1:65" ht="18.95" customHeight="1" x14ac:dyDescent="0.15">
      <c r="A10" s="357" t="str">
        <f>入力!E19</f>
        <v>４</v>
      </c>
      <c r="B10" s="354" t="str">
        <f>IF(入力!F19="","",IF(入力!F19&lt;=DATE(税率・条件!C1+1953,1,1),"65歳以上",IF(入力!F19&gt;DATE(税率・条件!C1+2012,4,1),"未就学","一般")))</f>
        <v/>
      </c>
      <c r="C10" s="359" t="str">
        <f>IF(D10="","",IF(入力!K19="該 当","該当","非該当"))</f>
        <v/>
      </c>
      <c r="D10" s="336" t="str">
        <f>IF(入力!G19="","",ROUNDDOWN(VLOOKUP(入力!G19,$B$24:$J$35,5,1)*IF(入力!K19="該 当",0.3,1),0))</f>
        <v/>
      </c>
      <c r="E10" s="336" t="str">
        <f>IF(D10="","",IF(OR(D10="",K10=""),0,IF(D10+K10&lt;100000,0,IF(D10&lt;100000,D10,100000)+IF(K10&lt;100000,K10,100000)-100000)))</f>
        <v/>
      </c>
      <c r="F10" s="336" t="str">
        <f>IF(D10="","",D10-E10)</f>
        <v/>
      </c>
      <c r="G10" s="350" t="str">
        <f>IF(D10="","",IF(OR(D10="",L10=""),0,IF(D10+L10&lt;100000,0,IF(D10&lt;100000,D10,100000)+IF(L10&lt;100000,L10,100000)-100000)))</f>
        <v/>
      </c>
      <c r="H10" s="348" t="str">
        <f>IF(D10="","",D10-G10)</f>
        <v/>
      </c>
      <c r="I10" s="335" t="str">
        <f>IF(入力!H19="","",IF(B10="65歳以上",VLOOKUP(入力!H19,$B$48:$D$52,2,1),VLOOKUP(入力!H19,$B$40:$D$44,2,1)))</f>
        <v/>
      </c>
      <c r="J10" s="336" t="str">
        <f>IF(I10="","",IF(B10="65歳以上",VLOOKUP(入力!H19,$B$48:$D$52,3,1),VLOOKUP(入力!H19,$B$40:$D$44,3,1)))</f>
        <v/>
      </c>
      <c r="K10" s="336" t="str">
        <f>IF(I10="","",IF(入力!H19*計算!I10/100-計算!J10&lt;0,0,ROUNDDOWN(入力!H19*計算!I10/100-計算!J10,0)))</f>
        <v/>
      </c>
      <c r="L10" s="348" t="str">
        <f>IF(K10="","",IF(B10="65歳以上",IF(K10&lt;税率・条件!$G$9,0,K10-税率・条件!$G$9),K10))</f>
        <v/>
      </c>
      <c r="M10" s="346" t="str">
        <f>IF(入力!I19="","",入力!I19)</f>
        <v/>
      </c>
      <c r="N10" s="335" t="str">
        <f>IF(入力!F19="","",SUM(F10,K10,M10))</f>
        <v/>
      </c>
      <c r="O10" s="336" t="str">
        <f>IF(入力!P19&lt;&gt;"",IF(計算!N10-430000&gt;0,計算!N10-430000,0),"")</f>
        <v/>
      </c>
      <c r="P10" s="337" t="str">
        <f>IF(入力!Q19&lt;&gt;"",IF(計算!N10-430000&gt;0,計算!N10-430000,0),"")</f>
        <v/>
      </c>
      <c r="Q10" s="339" t="str">
        <f>IF(N10="","",IF(AW10&lt;&gt;AW20,"",SUM(H10,L10,M10)))</f>
        <v/>
      </c>
      <c r="R10" s="341" t="str">
        <f>IF(AND(D10="",K10=""),"",IF(AW10&lt;&gt;AW20,"",IF(OR(入力!G19&gt;550000,AND(B10="65歳以上",入力!H19&gt;1250000),AND(B10&lt;&gt;"65歳以上",入力!H19&gt;600000)),1,"")))</f>
        <v/>
      </c>
      <c r="S10" s="307" t="str">
        <f>IF(N10="","",IF(AND(入力!$H$25&lt;&gt;"",入力!$C$19="全員申告済み",$AW$10=$AW$20),"該当",""))</f>
        <v/>
      </c>
      <c r="T10" s="332" t="str">
        <f>IF($O10="","",ROUNDDOWN($O10*税率・条件!$C$4/100,0))</f>
        <v/>
      </c>
      <c r="U10" s="310" t="str">
        <f>IF(入力!$P19="","",ROUNDDOWN(入力!$J19*税率・条件!$C$5/100,0))</f>
        <v/>
      </c>
      <c r="V10" s="310" t="str">
        <f>IF(入力!$P19="","",ROUNDDOWN(税率・条件!$C$6*(100%-IF(B10="未就学",税率・条件!$H$11,0%))*(100%-$M$34),0))</f>
        <v/>
      </c>
      <c r="W10" s="325"/>
      <c r="X10" s="315" t="str">
        <f t="shared" si="2"/>
        <v/>
      </c>
      <c r="Y10" s="313" t="str">
        <f>IF($O10="","",ROUNDDOWN($O10*税率・条件!$C$9/100,0))</f>
        <v/>
      </c>
      <c r="Z10" s="310" t="str">
        <f>IF(入力!$P19="","",ROUNDDOWN(入力!$J19*税率・条件!$C$10/100,0))</f>
        <v/>
      </c>
      <c r="AA10" s="310" t="str">
        <f>IF(入力!$P19="","",ROUNDDOWN(税率・条件!$C$11*(100%-IF(B10="未就学",税率・条件!$H$11,0%))*(100%-$M$34),0))</f>
        <v/>
      </c>
      <c r="AB10" s="325"/>
      <c r="AC10" s="315" t="str">
        <f t="shared" si="6"/>
        <v/>
      </c>
      <c r="AD10" s="313" t="str">
        <f>IF($P10="","",ROUNDDOWN($P10*税率・条件!$C$14/100,0))</f>
        <v/>
      </c>
      <c r="AE10" s="310" t="str">
        <f>IF(入力!$Q19="","",ROUNDDOWN(入力!$J19*税率・条件!$C$15/100,0))</f>
        <v/>
      </c>
      <c r="AF10" s="310" t="str">
        <f>IF(入力!$Q19="","",ROUNDDOWN(税率・条件!$C$16*(100%-$M$34),0))</f>
        <v/>
      </c>
      <c r="AG10" s="325"/>
      <c r="AH10" s="315" t="str">
        <f t="shared" si="3"/>
        <v/>
      </c>
      <c r="AI10" s="107" t="str">
        <f>IF(入力!$F$19="","",COUNTIF(AJ10:AU10,"●"))</f>
        <v/>
      </c>
      <c r="AJ10" s="111" t="str">
        <f>IF(入力!$F$19="","",IF(入力!$F$19&gt;=DATE(税率・条件!$C$1+2018,計算!AJ$3+1,1),"",IF(入力!$F$19&gt;=DATE(税率・条件!$C$1+2018-75,計算!AJ$3+1,1),IF(OR(AND(入力!L19="",OR(入力!M19="",入力!M19&gt;4,入力!M19&lt;4)),AND(入力!L19=4,OR(入力!M19="",入力!M19&gt;4,入力!M19&lt;4))),"●",""),"")))</f>
        <v/>
      </c>
      <c r="AK10" s="111" t="str">
        <f>IF(入力!$F$19="","",IF(入力!$F$19&gt;=DATE(税率・条件!$C$1+2018,計算!AK$3+1,1),"",IF(入力!$F$19&gt;=DATE(税率・条件!$C$1+2018-75,計算!AK$3+1,1),IF(OR(AND(入力!L19="",OR(入力!M19="",入力!M19&gt;5,入力!M19&lt;4)),AND(入力!L19=4,OR(入力!M19="",入力!M19&gt;5,入力!M19&lt;4)),AND(入力!L19=5,OR(入力!M19="",入力!M19&gt;5,入力!M19&lt;4))),"●",""),"")))</f>
        <v/>
      </c>
      <c r="AL10" s="111" t="str">
        <f>IF(入力!$F$19="","",IF(入力!$F$19&gt;=DATE(税率・条件!$C$1+2018,計算!AL$3+1,1),"",IF(入力!$F$19&gt;=DATE(税率・条件!$C$1+2018-75,計算!AL$3+1,1),IF(OR(AND(入力!L19="",OR(入力!M19="",入力!M19&gt;6,入力!M19&lt;4)),AND(入力!L19=4,OR(入力!M19="",入力!M19&gt;6,入力!M19&lt;4)),AND(入力!L19=5,OR(入力!M19="",入力!M19&gt;6,入力!M19&lt;4)),AND(入力!L19=6,OR(入力!M19="",入力!M19&gt;6,入力!M19&lt;4))),"●",""),"")))</f>
        <v/>
      </c>
      <c r="AM10" s="111" t="str">
        <f>IF(入力!$F$19="","",IF(入力!$F$19&gt;=DATE(税率・条件!$C$1+2018,計算!AM$3+1,1),"",IF(入力!$F$19&gt;=DATE(税率・条件!$C$1+2018-75,計算!AM$3+1,1),IF(OR(AND(入力!L19="",OR(入力!M19="",入力!M19&gt;7,入力!M19&lt;4)),AND(入力!L19=4,OR(入力!M19="",入力!M19&gt;7,入力!M19&lt;4)),AND(入力!L19=5,OR(入力!M19="",入力!M19&gt;7,入力!M19&lt;4)),AND(入力!L19=6,OR(入力!M19="",入力!M19&gt;7,入力!M19&lt;4)),AND(入力!L19=7,OR(入力!M19="",入力!M19&gt;7,入力!M19&lt;4))),"●",""),"")))</f>
        <v/>
      </c>
      <c r="AN10" s="111" t="str">
        <f>IF(入力!$F$19="","",IF(入力!$F$19&gt;=DATE(税率・条件!$C$1+2018,計算!AN$3+1,1),"",IF(入力!$F$19&gt;=DATE(税率・条件!$C$1+2018-75,計算!AN$3+1,1),IF(OR(AND(入力!L19="",OR(入力!M19="",入力!M19&gt;8,入力!M19&lt;4)),AND(入力!L19=4,OR(入力!M19="",入力!M19&gt;8,入力!M19&lt;4)),AND(入力!L19=5,OR(入力!M19="",入力!M19&gt;8,入力!M19&lt;4)),AND(入力!L19=6,OR(入力!M19="",入力!M19&gt;8,入力!M19&lt;4)),AND(入力!L19=7,OR(入力!M19="",入力!M19&gt;8,入力!M19&lt;4)),AND(入力!L19=8,OR(入力!M19="",入力!M19&gt;8,入力!M19&lt;4))),"●",""),"")))</f>
        <v/>
      </c>
      <c r="AO10" s="111" t="str">
        <f>IF(入力!$F$19="","",IF(入力!$F$19&gt;=DATE(税率・条件!$C$1+2018,計算!AO$3+1,1),"",IF(入力!$F$19&gt;=DATE(税率・条件!$C$1+2018-75,計算!AO$3+1,1),IF(OR(AND(入力!L19="",OR(入力!M19="",入力!M19&gt;9,入力!M19&lt;4)),AND(入力!L19=4,OR(入力!M19="",入力!M19&gt;9,入力!M19&lt;4)),AND(入力!L19=5,OR(入力!M19="",入力!M19&gt;9,入力!M19&lt;4)),AND(入力!L19=6,OR(入力!M19="",入力!M19&gt;9,入力!M19&lt;4)),AND(入力!L19=7,OR(入力!M19="",入力!M19&gt;9,入力!M19&lt;4)),AND(入力!L19=8,OR(入力!M19="",入力!M19&gt;9,入力!M19&lt;4)),AND(入力!L19=9,OR(入力!M19="",入力!M19&gt;9,入力!M19&lt;4))),"●",""),"")))</f>
        <v/>
      </c>
      <c r="AP10" s="111" t="str">
        <f>IF(入力!$F$19="","",IF(入力!$F$19&gt;=DATE(税率・条件!$C$1+2018,計算!AP$3+1,1),"",IF(入力!$F$19&gt;=DATE(税率・条件!$C$1+2018-75,計算!AP$3+1,1),IF(OR(AND(入力!L19="",OR(入力!M19="",入力!M19&gt;10,入力!M19&lt;4)),AND(入力!L19=4,OR(入力!M19="",入力!M19&gt;10,入力!M19&lt;4)),AND(入力!L19=5,OR(入力!M19="",入力!M19&gt;10,入力!M19&lt;4)),AND(入力!L19=6,OR(入力!M19="",入力!M19&gt;10,入力!M19&lt;4)),AND(入力!L19=7,OR(入力!M19="",入力!M19&gt;10,入力!M19&lt;4)),AND(入力!L19=8,OR(入力!M19="",入力!M19&gt;10,入力!M19&lt;4)),AND(入力!L19=9,OR(入力!M19="",入力!M19&gt;10,入力!M19&lt;4)),AND(入力!L19=10,OR(入力!M19="",入力!M19&gt;10,入力!M19&lt;4))),"●",""),"")))</f>
        <v/>
      </c>
      <c r="AQ10" s="111" t="str">
        <f>IF(入力!$F$19="","",IF(入力!$F$19&gt;=DATE(税率・条件!$C$1+2018,計算!AQ$3+1,1),"",IF(入力!$F$19&gt;=DATE(税率・条件!$C$1+2018-75,計算!AQ$3+1,1),IF(OR(AND(入力!L19="",OR(入力!M19="",入力!M19&gt;11,入力!M19&lt;4)),AND(入力!L19=4,OR(入力!M19="",入力!M19&gt;11,入力!M19&lt;4)),AND(入力!L19=5,OR(入力!M19="",入力!M19&gt;11,入力!M19&lt;4)),AND(入力!L19=6,OR(入力!M19="",入力!M19&gt;11,入力!M19&lt;4)),AND(入力!L19=7,OR(入力!M19="",入力!M19&gt;11,入力!M19&lt;4)),AND(入力!L19=8,OR(入力!M19="",入力!M19&gt;11,入力!M19&lt;4)),AND(入力!L19=9,OR(入力!M19="",入力!M19&gt;11,入力!M19&lt;4)),AND(入力!L19=10,OR(入力!M19="",入力!M19&gt;11,入力!M19&lt;4)),AND(入力!L19=11,OR(入力!M19="",入力!M19&gt;11,入力!M19&lt;4))),"●",""),"")))</f>
        <v/>
      </c>
      <c r="AR10" s="111" t="str">
        <f>IF(入力!$F$19="","",IF(入力!$F$19&gt;=DATE(税率・条件!$C$1+2018,計算!AR$3+1,1),"",IF(入力!$F$19&gt;=DATE(税率・条件!$C$1+2018-75,計算!AR$3+1,1),IF(OR(AND(入力!L19="",OR(入力!M19="",入力!M19&gt;12,入力!M19&lt;4)),AND(入力!L19=4,OR(入力!M19="",入力!M19&gt;12,入力!M19&lt;4)),AND(入力!L19=5,OR(入力!M19="",入力!M19&gt;12,入力!M19&lt;4)),AND(入力!L19=6,OR(入力!M19="",入力!M19&gt;12,入力!M19&lt;4)),AND(入力!L19=7,OR(入力!M19="",入力!M19&gt;12,入力!M19&lt;4)),AND(入力!L19=8,OR(入力!M19="",入力!M19&gt;12,入力!M19&lt;4)),AND(入力!L19=9,OR(入力!M19="",入力!M19&gt;12,入力!M19&lt;4)),AND(入力!L19=10,OR(入力!M19="",入力!M19&gt;12,入力!M19&lt;4)),AND(入力!L19=11,OR(入力!M19="",入力!M19&gt;12,入力!M19&lt;4)),AND(入力!L19=12,OR(入力!M19="",入力!M19&gt;12,入力!M19&lt;4))),"●",""),"")))</f>
        <v/>
      </c>
      <c r="AS10" s="111" t="str">
        <f>IF(入力!$F$19="","",IF(入力!$F$19&gt;=DATE(税率・条件!$C$1+2019,計算!AS$3+1,1),"",IF(入力!$F$19&gt;=DATE(税率・条件!$C$1+2019-75,計算!AS$3+1,1),IF(OR(AND(入力!L19="",OR(入力!M19="",入力!M19=2,入力!M19=3)),AND(入力!L19=4,OR(入力!M19="",入力!M19=2,入力!M19=3)),AND(入力!L19=5,OR(入力!M19="",入力!M19=2,入力!M19=3)),AND(入力!L19=6,OR(入力!M19="",入力!M19=2,入力!M19=3)),AND(入力!L19=7,OR(入力!M19="",入力!M19=2,入力!M19=3)),AND(入力!L19=8,OR(入力!M19="",入力!M19=2,入力!M19=3)),AND(入力!L19=9,OR(入力!M19="",入力!M19=2,入力!M19=3)),AND(入力!L19=10,OR(入力!M19="",入力!M19=2,入力!M19=3)),AND(入力!L19=11,OR(入力!M19="",入力!M19=2,入力!M19=3)),AND(入力!L19=12,OR(入力!M19="",入力!M19=2,入力!M19=3)),AND(入力!L19=1,OR(入力!M19="",入力!M19=2,入力!M19=3))),"●",""),"")))</f>
        <v/>
      </c>
      <c r="AT10" s="111" t="str">
        <f>IF(入力!$F$19="","",IF(入力!$F$19&gt;=DATE(税率・条件!$C$1+2019,計算!AT$3+1,1),"",IF(入力!$F$19&gt;=DATE(税率・条件!$C$1+2019-75,計算!AT$3+1,1),IF(OR(AND(入力!L19="",OR(入力!M19="",入力!M19=3)),AND(入力!L19=4,OR(入力!M19="",入力!M19=3)),AND(入力!L19=5,OR(入力!M19="",入力!M19=3)),AND(入力!L19=6,OR(入力!M19="",入力!M19=3)),AND(入力!L19=7,OR(入力!M19="",入力!M19=3)),AND(入力!L19=8,OR(入力!M19="",入力!M19=3)),AND(入力!L19=9,OR(入力!M19="",入力!M19=3)),AND(入力!L19=10,OR(入力!M19="",入力!M19=3)),AND(入力!L19=11,OR(入力!M19="",入力!M19=3)),AND(入力!L19=12,OR(入力!M19="",入力!M19=3)),AND(入力!L19=1,OR(入力!M19="",入力!M19=3)),AND(入力!L19=2,OR(入力!M19="",入力!M19=3))),"●",""),"")))</f>
        <v/>
      </c>
      <c r="AU10" s="112" t="str">
        <f>IF(入力!$F$19="","",IF(入力!$F$19&gt;=DATE(税率・条件!$C$1+2019,計算!AU$3+1,1),"",IF(入力!$F$19&gt;=DATE(税率・条件!$C$1+2019-75,計算!AU$3+1,1),IF(OR(AND(入力!L19="",入力!M19=""),AND(入力!L19=4,入力!M19=""),AND(入力!L19=5,入力!M19=""),AND(入力!L19=6,入力!M19=""),AND(入力!L19=7,入力!M19=""),AND(入力!L19=8,入力!M19=""),AND(入力!L19=9,入力!M19=""),AND(入力!L19=10,入力!M19=""),AND(入力!L19=11,入力!M19=""),AND(入力!L19=12,入力!M19=""),AND(入力!L19=1,入力!M19=""),AND(入力!L19=2,入力!M19=""),AND(入力!L19=3,入力!M19="")),"●",""),"")))</f>
        <v/>
      </c>
      <c r="AW10" s="94" t="str">
        <f>IF(AND(AJ$20=1,AJ10="●"),4,IF(AND(AK$20=1,AK10="●"),5,IF(AND(AL$20=1,AL10="●"),6,IF(AND(AM$20=1,AM10="●"),7,IF(AND(AN$20=1,AN10="●"),8,IF(AND(AO$20=1,AO10="●"),9,IF(AND(AP$20=1,AP10="●"),10,IF(AND(AQ$20=1,AQ10="●"),11,IF(AND(AR$20=1,AR10="●"),12,IF(AND(AS$20=1,AS10="●"),1,IF(AND(AT$20=1,AT10="●"),2,IF(AND(AU$20=1,AU10="●"),3,""))))))))))))</f>
        <v/>
      </c>
      <c r="AY10" s="180" t="s">
        <v>177</v>
      </c>
      <c r="AZ10" s="188">
        <f>ROUND(ROUNDDOWN((IF(AJ$4="",0,入力!$J$16)+IF(AJ$6="",0,入力!$J$17)+IF(AJ$8="",0,入力!$J$18)+IF(AJ$10="",0,入力!$J$19)+IF(AJ$12="",0,入力!$J$20)+IF(AJ$14="",0,入力!$J$21)+IF(AJ$16="",0,入力!$J$22)+IF(AJ$18="",0,入力!$J$23))*税率・条件!$C$10/100,0)/12,2)</f>
        <v>0</v>
      </c>
      <c r="BA10" s="188">
        <f>ROUND(ROUNDDOWN((IF(AK$4="",0,入力!$J$16)+IF(AK$6="",0,入力!$J$17)+IF(AK$8="",0,入力!$J$18)+IF(AK$10="",0,入力!$J$19)+IF(AK$12="",0,入力!$J$20)+IF(AK$14="",0,入力!$J$21)+IF(AK$16="",0,入力!$J$22)+IF(AK$18="",0,入力!$J$23))*税率・条件!$C$10/100,0)/12,2)</f>
        <v>0</v>
      </c>
      <c r="BB10" s="188">
        <f>ROUND(ROUNDDOWN((IF(AL$4="",0,入力!$J$16)+IF(AL$6="",0,入力!$J$17)+IF(AL$8="",0,入力!$J$18)+IF(AL$10="",0,入力!$J$19)+IF(AL$12="",0,入力!$J$20)+IF(AL$14="",0,入力!$J$21)+IF(AL$16="",0,入力!$J$22)+IF(AL$18="",0,入力!$J$23))*税率・条件!$C$10/100,0)/12,2)</f>
        <v>0</v>
      </c>
      <c r="BC10" s="188">
        <f>ROUND(ROUNDDOWN((IF(AM$4="",0,入力!$J$16)+IF(AM$6="",0,入力!$J$17)+IF(AM$8="",0,入力!$J$18)+IF(AM$10="",0,入力!$J$19)+IF(AM$12="",0,入力!$J$20)+IF(AM$14="",0,入力!$J$21)+IF(AM$16="",0,入力!$J$22)+IF(AM$18="",0,入力!$J$23))*税率・条件!$C$10/100,0)/12,2)</f>
        <v>0</v>
      </c>
      <c r="BD10" s="188">
        <f>ROUND(ROUNDDOWN((IF(AN$4="",0,入力!$J$16)+IF(AN$6="",0,入力!$J$17)+IF(AN$8="",0,入力!$J$18)+IF(AN$10="",0,入力!$J$19)+IF(AN$12="",0,入力!$J$20)+IF(AN$14="",0,入力!$J$21)+IF(AN$16="",0,入力!$J$22)+IF(AN$18="",0,入力!$J$23))*税率・条件!$C$10/100,0)/12,2)</f>
        <v>0</v>
      </c>
      <c r="BE10" s="188">
        <f>ROUND(ROUNDDOWN((IF(AO$4="",0,入力!$J$16)+IF(AO$6="",0,入力!$J$17)+IF(AO$8="",0,入力!$J$18)+IF(AO$10="",0,入力!$J$19)+IF(AO$12="",0,入力!$J$20)+IF(AO$14="",0,入力!$J$21)+IF(AO$16="",0,入力!$J$22)+IF(AO$18="",0,入力!$J$23))*税率・条件!$C$10/100,0)/12,2)</f>
        <v>0</v>
      </c>
      <c r="BF10" s="188">
        <f>ROUND(ROUNDDOWN((IF(AP$4="",0,入力!$J$16)+IF(AP$6="",0,入力!$J$17)+IF(AP$8="",0,入力!$J$18)+IF(AP$10="",0,入力!$J$19)+IF(AP$12="",0,入力!$J$20)+IF(AP$14="",0,入力!$J$21)+IF(AP$16="",0,入力!$J$22)+IF(AP$18="",0,入力!$J$23))*税率・条件!$C$10/100,0)/12,2)</f>
        <v>0</v>
      </c>
      <c r="BG10" s="188">
        <f>ROUND(ROUNDDOWN((IF(AQ$4="",0,入力!$J$16)+IF(AQ$6="",0,入力!$J$17)+IF(AQ$8="",0,入力!$J$18)+IF(AQ$10="",0,入力!$J$19)+IF(AQ$12="",0,入力!$J$20)+IF(AQ$14="",0,入力!$J$21)+IF(AQ$16="",0,入力!$J$22)+IF(AQ$18="",0,入力!$J$23))*税率・条件!$C$10/100,0)/12,2)</f>
        <v>0</v>
      </c>
      <c r="BH10" s="188">
        <f>ROUND(ROUNDDOWN((IF(AR$4="",0,入力!$J$16)+IF(AR$6="",0,入力!$J$17)+IF(AR$8="",0,入力!$J$18)+IF(AR$10="",0,入力!$J$19)+IF(AR$12="",0,入力!$J$20)+IF(AR$14="",0,入力!$J$21)+IF(AR$16="",0,入力!$J$22)+IF(AR$18="",0,入力!$J$23))*税率・条件!$C$10/100,0)/12,2)</f>
        <v>0</v>
      </c>
      <c r="BI10" s="188">
        <f>ROUND(ROUNDDOWN((IF(AS$4="",0,入力!$J$16)+IF(AS$6="",0,入力!$J$17)+IF(AS$8="",0,入力!$J$18)+IF(AS$10="",0,入力!$J$19)+IF(AS$12="",0,入力!$J$20)+IF(AS$14="",0,入力!$J$21)+IF(AS$16="",0,入力!$J$22)+IF(AS$18="",0,入力!$J$23))*税率・条件!$C$10/100,0)/12,2)</f>
        <v>0</v>
      </c>
      <c r="BJ10" s="188">
        <f>ROUND(ROUNDDOWN((IF(AT$4="",0,入力!$J$16)+IF(AT$6="",0,入力!$J$17)+IF(AT$8="",0,入力!$J$18)+IF(AT$10="",0,入力!$J$19)+IF(AT$12="",0,入力!$J$20)+IF(AT$14="",0,入力!$J$21)+IF(AT$16="",0,入力!$J$22)+IF(AT$18="",0,入力!$J$23))*税率・条件!$C$10/100,0)/12,2)</f>
        <v>0</v>
      </c>
      <c r="BK10" s="188">
        <f>ROUND(ROUNDDOWN((IF(AU$4="",0,入力!$J$16)+IF(AU$6="",0,入力!$J$17)+IF(AU$8="",0,入力!$J$18)+IF(AU$10="",0,入力!$J$19)+IF(AU$12="",0,入力!$J$20)+IF(AU$14="",0,入力!$J$21)+IF(AU$16="",0,入力!$J$22)+IF(AU$18="",0,入力!$J$23))*税率・条件!$C$10/100,0)/12,2)</f>
        <v>0</v>
      </c>
      <c r="BL10" s="192">
        <f t="shared" si="8"/>
        <v>0</v>
      </c>
      <c r="BM10" s="184">
        <f>ROUNDDOWN(ROUND(BL10,1),0)</f>
        <v>0</v>
      </c>
    </row>
    <row r="11" spans="1:65" ht="18.95" customHeight="1" x14ac:dyDescent="0.15">
      <c r="A11" s="358"/>
      <c r="B11" s="355"/>
      <c r="C11" s="360"/>
      <c r="D11" s="311"/>
      <c r="E11" s="311"/>
      <c r="F11" s="311"/>
      <c r="G11" s="353"/>
      <c r="H11" s="349"/>
      <c r="I11" s="314"/>
      <c r="J11" s="311"/>
      <c r="K11" s="311"/>
      <c r="L11" s="349"/>
      <c r="M11" s="347"/>
      <c r="N11" s="314"/>
      <c r="O11" s="311"/>
      <c r="P11" s="338"/>
      <c r="Q11" s="340"/>
      <c r="R11" s="342"/>
      <c r="S11" s="308"/>
      <c r="T11" s="334"/>
      <c r="U11" s="311"/>
      <c r="V11" s="311"/>
      <c r="W11" s="328"/>
      <c r="X11" s="316"/>
      <c r="Y11" s="314"/>
      <c r="Z11" s="311"/>
      <c r="AA11" s="311"/>
      <c r="AB11" s="328"/>
      <c r="AC11" s="316"/>
      <c r="AD11" s="314"/>
      <c r="AE11" s="311"/>
      <c r="AF11" s="311"/>
      <c r="AG11" s="328"/>
      <c r="AH11" s="316"/>
      <c r="AI11" s="108" t="str">
        <f>IF(入力!$F$19="","",COUNTIF(AJ11:AU11,"■"))</f>
        <v/>
      </c>
      <c r="AJ11" s="109" t="str">
        <f>IF(入力!$F$19="","",IF(AND(入力!$F$19&gt;DATE(税率・条件!$C$1+2018-65,計算!AJ$3+1,1),入力!$F$19&lt;=DATE(税率・条件!$C$1+2018-40,計算!AJ$3+1,1)),IF(OR(AND(入力!L19="",OR(入力!M19="",入力!M19&gt;4,入力!M19&lt;4)),AND(入力!L19=4,OR(入力!M19="",入力!M19&gt;4,入力!M19&lt;4))),"■",""),""))</f>
        <v/>
      </c>
      <c r="AK11" s="109" t="str">
        <f>IF(入力!$F$19="","",IF(AND(入力!$F$19&gt;DATE(税率・条件!$C$1+2018-65,計算!AK$3+1,1),入力!$F$19&lt;=DATE(税率・条件!$C$1+2018-40,計算!AK$3+1,1)),IF(OR(AND(入力!L19="",OR(入力!M19="",入力!M19&gt;5,入力!M19&lt;4)),AND(入力!L19=4,OR(入力!M19="",入力!M19&gt;5,入力!M19&lt;4)),AND(入力!L19=5,OR(入力!M19="",入力!M19&gt;5,入力!M19&lt;4))),"■",""),""))</f>
        <v/>
      </c>
      <c r="AL11" s="109" t="str">
        <f>IF(入力!$F$19="","",IF(AND(入力!$F$19&gt;DATE(税率・条件!$C$1+2018-65,計算!AL$3+1,1),入力!$F$19&lt;=DATE(税率・条件!$C$1+2018-40,計算!AL$3+1,1)),IF(OR(AND(入力!L19="",OR(入力!M19="",入力!M19&gt;6,入力!M19&lt;4)),AND(入力!L19=4,OR(入力!M19="",入力!M19&gt;6,入力!M19&lt;4)),AND(入力!L19=5,OR(入力!M19="",入力!M19&gt;6,入力!M19&lt;4)),AND(入力!L19=6,OR(入力!M19="",入力!M19&gt;6,入力!M19&lt;4))),"■",""),""))</f>
        <v/>
      </c>
      <c r="AM11" s="109" t="str">
        <f>IF(入力!$F$19="","",IF(AND(入力!$F$19&gt;DATE(税率・条件!$C$1+2018-65,計算!AM$3+1,1),入力!$F$19&lt;=DATE(税率・条件!$C$1+2018-40,計算!AM$3+1,1)),IF(OR(AND(入力!L19="",OR(入力!M19="",入力!M19&gt;7,入力!M19&lt;4)),AND(入力!L19=4,OR(入力!M19="",入力!M19&gt;7,入力!M19&lt;4)),AND(入力!L19=5,OR(入力!M19="",入力!M19&gt;7,入力!M19&lt;4)),AND(入力!L19=6,OR(入力!M19="",入力!M19&gt;7,入力!M19&lt;4)),AND(入力!L19=7,OR(入力!M19="",入力!M19&gt;7,入力!M19&lt;4))),"■",""),""))</f>
        <v/>
      </c>
      <c r="AN11" s="109" t="str">
        <f>IF(入力!$F$19="","",IF(AND(入力!$F$19&gt;DATE(税率・条件!$C$1+2018-65,計算!AN$3+1,1),入力!$F$19&lt;=DATE(税率・条件!$C$1+2018-40,計算!AN$3+1,1)),IF(OR(AND(入力!L19="",OR(入力!M19="",入力!M19&gt;8,入力!M19&lt;4)),AND(入力!L19=4,OR(入力!M19="",入力!M19&gt;8,入力!M19&lt;4)),AND(入力!L19=5,OR(入力!M19="",入力!M19&gt;8,入力!M19&lt;4)),AND(入力!L19=6,OR(入力!M19="",入力!M19&gt;8,入力!M19&lt;4)),AND(入力!L19=7,OR(入力!M19="",入力!M19&gt;8,入力!M19&lt;4)),AND(入力!L19=8,OR(入力!M19="",入力!M19&gt;8,入力!M19&lt;4))),"■",""),""))</f>
        <v/>
      </c>
      <c r="AO11" s="109" t="str">
        <f>IF(入力!$F$19="","",IF(AND(入力!$F$19&gt;DATE(税率・条件!$C$1+2018-65,計算!AO$3+1,1),入力!$F$19&lt;=DATE(税率・条件!$C$1+2018-40,計算!AO$3+1,1)),IF(OR(AND(入力!L19="",OR(入力!M19="",入力!M19&gt;9,入力!M19&lt;4)),AND(入力!L19=4,OR(入力!M19="",入力!M19&gt;9,入力!M19&lt;4)),AND(入力!L19=5,OR(入力!M19="",入力!M19&gt;9,入力!M19&lt;4)),AND(入力!L19=6,OR(入力!M19="",入力!M19&gt;9,入力!M19&lt;4)),AND(入力!L19=7,OR(入力!M19="",入力!M19&gt;9,入力!M19&lt;4)),AND(入力!L19=8,OR(入力!M19="",入力!M19&gt;9,入力!M19&lt;4)),AND(入力!L19=9,OR(入力!M19="",入力!M19&gt;9,入力!M19&lt;4))),"■",""),""))</f>
        <v/>
      </c>
      <c r="AP11" s="109" t="str">
        <f>IF(入力!$F$19="","",IF(AND(入力!$F$19&gt;DATE(税率・条件!$C$1+2018-65,計算!AP$3+1,1),入力!$F$19&lt;=DATE(税率・条件!$C$1+2018-40,計算!AP$3+1,1)),IF(OR(AND(入力!L19="",OR(入力!M19="",入力!M19&gt;10,入力!M19&lt;4)),AND(入力!L19=4,OR(入力!M19="",入力!M19&gt;10,入力!M19&lt;4)),AND(入力!L19=5,OR(入力!M19="",入力!M19&gt;10,入力!M19&lt;4)),AND(入力!L19=6,OR(入力!M19="",入力!M19&gt;10,入力!M19&lt;4)),AND(入力!L19=7,OR(入力!M19="",入力!M19&gt;10,入力!M19&lt;4)),AND(入力!L19=8,OR(入力!M19="",入力!M19&gt;10,入力!M19&lt;4)),AND(入力!L19=9,OR(入力!M19="",入力!M19&gt;10,入力!M19&lt;4)),AND(入力!L19=10,OR(入力!M19="",入力!M19&gt;10,入力!M19&lt;4))),"■",""),""))</f>
        <v/>
      </c>
      <c r="AQ11" s="109" t="str">
        <f>IF(入力!$F$19="","",IF(AND(入力!$F$19&gt;DATE(税率・条件!$C$1+2018-65,計算!AQ$3+1,1),入力!$F$19&lt;=DATE(税率・条件!$C$1+2018-40,計算!AQ$3+1,1)),IF(OR(AND(入力!L19="",OR(入力!M19="",入力!M19&gt;11,入力!M19&lt;4)),AND(入力!L19=4,OR(入力!M19="",入力!M19&gt;11,入力!M19&lt;4)),AND(入力!L19=5,OR(入力!M19="",入力!M19&gt;11,入力!M19&lt;4)),AND(入力!L19=6,OR(入力!M19="",入力!M19&gt;11,入力!M19&lt;4)),AND(入力!L19=7,OR(入力!M19="",入力!M19&gt;11,入力!M19&lt;4)),AND(入力!L19=8,OR(入力!M19="",入力!M19&gt;11,入力!M19&lt;4)),AND(入力!L19=9,OR(入力!M19="",入力!M19&gt;11,入力!M19&lt;4)),AND(入力!L19=10,OR(入力!M19="",入力!M19&gt;11,入力!M19&lt;4)),AND(入力!L19=11,OR(入力!M19="",入力!M19&gt;11,入力!M19&lt;4))),"■",""),""))</f>
        <v/>
      </c>
      <c r="AR11" s="109" t="str">
        <f>IF(入力!$F$19="","",IF(AND(入力!$F$19&gt;DATE(税率・条件!$C$1+2018-65,計算!AR$3+1,1),入力!$F$19&lt;=DATE(税率・条件!$C$1+2018-40,計算!AR$3+1,1)),IF(OR(AND(入力!L19="",OR(入力!M19="",入力!M19&gt;12,入力!M19&lt;4)),AND(入力!L19=4,OR(入力!M19="",入力!M19&gt;12,入力!M19&lt;4)),AND(入力!L19=5,OR(入力!M19="",入力!M19&gt;12,入力!M19&lt;4)),AND(入力!L19=6,OR(入力!M19="",入力!M19&gt;12,入力!M19&lt;4)),AND(入力!L19=7,OR(入力!M19="",入力!M19&gt;12,入力!M19&lt;4)),AND(入力!L19=8,OR(入力!M19="",入力!M19&gt;12,入力!M19&lt;4)),AND(入力!L19=9,OR(入力!M19="",入力!M19&gt;12,入力!M19&lt;4)),AND(入力!L19=10,OR(入力!M19="",入力!M19&gt;12,入力!M19&lt;4)),AND(入力!L19=11,OR(入力!M19="",入力!M19&gt;12,入力!M19&lt;4)),AND(入力!L19=12,OR(入力!M19="",入力!M19&gt;12,入力!M19&lt;4))),"■",""),""))</f>
        <v/>
      </c>
      <c r="AS11" s="109" t="str">
        <f>IF(入力!$F$19="","",IF(AND(入力!$F$19&gt;DATE(税率・条件!$C$1+2019-65,計算!AS$3+1,1),入力!$F$19&lt;=DATE(税率・条件!$C$1+2019-40,計算!AS$3+1,1)),IF(OR(AND(入力!L19="",OR(入力!M19="",入力!M19=2,入力!M19=3)),AND(入力!L19=4,OR(入力!M19="",入力!M19=2,入力!M19=3)),AND(入力!L19=5,OR(入力!M19="",入力!M19=2,入力!M19=3)),AND(入力!L19=6,OR(入力!M19="",入力!M19=2,入力!M19=3)),AND(入力!L19=7,OR(入力!M19="",入力!M19=2,入力!M19=3)),AND(入力!L19=8,OR(入力!M19="",入力!M19=2,入力!M19=3)),AND(入力!L19=9,OR(入力!M19="",入力!M19=2,入力!M19=3)),AND(入力!L19=10,OR(入力!M19="",入力!M19=2,入力!M19=3)),AND(入力!L19=11,OR(入力!M19="",入力!M19=2,入力!M19=3)),AND(入力!L19=12,OR(入力!M19="",入力!M19=2,入力!M19=3)),AND(入力!L19=1,OR(入力!M19="",入力!M19=2,入力!M19=3))),"■",""),""))</f>
        <v/>
      </c>
      <c r="AT11" s="109" t="str">
        <f>IF(入力!$F$19="","",IF(AND(入力!$F$19&gt;DATE(税率・条件!$C$1+2019-65,計算!AT$3+1,1),入力!$F$19&lt;=DATE(税率・条件!$C$1+2019-40,計算!AT$3+1,1)),IF(OR(AND(入力!L19="",OR(入力!M19="",入力!M19=3)),AND(入力!L19=4,OR(入力!M19="",入力!M19=3)),AND(入力!L19=5,OR(入力!M19="",入力!M19=3)),AND(入力!L19=6,OR(入力!M19="",入力!M19=3)),AND(入力!L19=7,OR(入力!M19="",入力!M19=3)),AND(入力!L19=8,OR(入力!M19="",入力!M19=3)),AND(入力!L19=9,OR(入力!M19="",入力!M19=3)),AND(入力!L19=10,OR(入力!M19="",入力!M19=3)),AND(入力!L19=11,OR(入力!M19="",入力!M19=3)),AND(入力!L19=12,OR(入力!M19="",入力!M19=3)),AND(入力!L19=1,OR(入力!M19="",入力!M19=3)),AND(入力!L19=2,OR(入力!M19="",入力!M19=3))),"■",""),""))</f>
        <v/>
      </c>
      <c r="AU11" s="110" t="str">
        <f>IF(入力!$F$19="","",IF(AND(入力!$F$19&gt;DATE(税率・条件!$C$1+2019-65,計算!AU$3+1,1),入力!$F$19&lt;=DATE(税率・条件!$C$1+2019-40,計算!AU$3+1,1)),IF(OR(AND(入力!L19="",入力!M19=""),AND(入力!L19=4,入力!M19=""),AND(入力!L19=5,入力!M19=""),AND(入力!L19=6,入力!M19=""),AND(入力!L19=7,入力!M19=""),AND(入力!L19=8,入力!M19=""),AND(入力!L19=9,入力!M19=""),AND(入力!L19=10,入力!M19=""),AND(入力!L19=11,入力!M19=""),AND(入力!L19=12,入力!M19=""),AND(入力!L19=1,入力!M19=""),AND(入力!L19=2,入力!M19=""),AND(入力!L19=3,入力!M19="")),"■",""),""))</f>
        <v/>
      </c>
      <c r="AY11" s="180" t="s">
        <v>178</v>
      </c>
      <c r="AZ11" s="188">
        <f t="shared" ref="AZ11:BK11" si="9">ROUND(ROUNDDOWN((IF(AJ$4="",0,$AA4)+IF(AJ$6="",0,$AA6)+IF(AJ$8="",0,$AA8)+IF(AJ$10="",0,$AA10)+IF(AJ$12="",0,$AA12)+IF(AJ$14="",0,$AA14)+IF(AJ$16="",0,$AA16)+IF(AJ$18="",0,$AA18)),0)/12,2)</f>
        <v>0</v>
      </c>
      <c r="BA11" s="188">
        <f t="shared" si="9"/>
        <v>0</v>
      </c>
      <c r="BB11" s="188">
        <f t="shared" si="9"/>
        <v>0</v>
      </c>
      <c r="BC11" s="188">
        <f t="shared" si="9"/>
        <v>0</v>
      </c>
      <c r="BD11" s="188">
        <f t="shared" si="9"/>
        <v>0</v>
      </c>
      <c r="BE11" s="188">
        <f t="shared" si="9"/>
        <v>0</v>
      </c>
      <c r="BF11" s="188">
        <f t="shared" si="9"/>
        <v>0</v>
      </c>
      <c r="BG11" s="188">
        <f t="shared" si="9"/>
        <v>0</v>
      </c>
      <c r="BH11" s="188">
        <f t="shared" si="9"/>
        <v>0</v>
      </c>
      <c r="BI11" s="188">
        <f t="shared" si="9"/>
        <v>0</v>
      </c>
      <c r="BJ11" s="188">
        <f t="shared" si="9"/>
        <v>0</v>
      </c>
      <c r="BK11" s="188">
        <f t="shared" si="9"/>
        <v>0</v>
      </c>
      <c r="BL11" s="192">
        <f t="shared" si="8"/>
        <v>0</v>
      </c>
      <c r="BM11" s="184">
        <f>ROUNDDOWN(ROUND(BL11,1),0)</f>
        <v>0</v>
      </c>
    </row>
    <row r="12" spans="1:65" ht="18.95" customHeight="1" x14ac:dyDescent="0.15">
      <c r="A12" s="357" t="str">
        <f>入力!E20</f>
        <v>５</v>
      </c>
      <c r="B12" s="354" t="str">
        <f>IF(入力!F20="","",IF(入力!F20&lt;=DATE(税率・条件!C1+1953,1,1),"65歳以上",IF(入力!F20&gt;DATE(税率・条件!C1+2012,4,1),"未就学","一般")))</f>
        <v/>
      </c>
      <c r="C12" s="359" t="str">
        <f>IF(D12="","",IF(入力!K20="該 当","該当","非該当"))</f>
        <v/>
      </c>
      <c r="D12" s="336" t="str">
        <f>IF(入力!G20="","",ROUNDDOWN(VLOOKUP(入力!G20,$B$24:$J$35,6,1)*IF(入力!K20="該 当",0.3,1),0))</f>
        <v/>
      </c>
      <c r="E12" s="336" t="str">
        <f>IF(D12="","",IF(OR(D12="",K12=""),0,IF(D12+K12&lt;100000,0,IF(D12&lt;100000,D12,100000)+IF(K12&lt;100000,K12,100000)-100000)))</f>
        <v/>
      </c>
      <c r="F12" s="336" t="str">
        <f>IF(D12="","",D12-E12)</f>
        <v/>
      </c>
      <c r="G12" s="350" t="str">
        <f>IF(D12="","",IF(OR(D12="",L12=""),0,IF(D12+L12&lt;100000,0,IF(D12&lt;100000,D12,100000)+IF(L12&lt;100000,L12,100000)-100000)))</f>
        <v/>
      </c>
      <c r="H12" s="348" t="str">
        <f>IF(D12="","",D12-G12)</f>
        <v/>
      </c>
      <c r="I12" s="335" t="str">
        <f>IF(入力!H20="","",IF(B12="65歳以上",VLOOKUP(入力!H20,$B$48:$D$52,2,1),VLOOKUP(入力!H20,$B$40:$D$44,2,1)))</f>
        <v/>
      </c>
      <c r="J12" s="336" t="str">
        <f>IF(I12="","",IF(B12="65歳以上",VLOOKUP(入力!H20,$B$48:$D$52,3,1),VLOOKUP(入力!H20,$B$40:$D$44,3,1)))</f>
        <v/>
      </c>
      <c r="K12" s="336" t="str">
        <f>IF(I12="","",IF(入力!H20*計算!I12/100-計算!J12&lt;0,0,ROUNDDOWN(入力!H20*計算!I12/100-計算!J12,0)))</f>
        <v/>
      </c>
      <c r="L12" s="348" t="str">
        <f>IF(K12="","",IF(B12="65歳以上",IF(K12&lt;税率・条件!$G$9,0,K12-税率・条件!$G$9),K12))</f>
        <v/>
      </c>
      <c r="M12" s="346" t="str">
        <f>IF(入力!I20="","",入力!I20)</f>
        <v/>
      </c>
      <c r="N12" s="335" t="str">
        <f>IF(入力!F20="","",SUM(F12,K12,M12))</f>
        <v/>
      </c>
      <c r="O12" s="336" t="str">
        <f>IF(入力!P20&lt;&gt;"",IF(計算!N12-430000&gt;0,計算!N12-430000,0),"")</f>
        <v/>
      </c>
      <c r="P12" s="337" t="str">
        <f>IF(入力!Q20&lt;&gt;"",IF(計算!N12-430000&gt;0,計算!N12-430000,0),"")</f>
        <v/>
      </c>
      <c r="Q12" s="339" t="str">
        <f>IF(N12="","",IF(AW12&lt;&gt;AW20,"",SUM(H12,L12,M12)))</f>
        <v/>
      </c>
      <c r="R12" s="341" t="str">
        <f>IF(AND(D12="",K12=""),"",IF(AW12&lt;&gt;AW20,"",IF(OR(入力!G20&gt;550000,AND(B12="65歳以上",入力!H20&gt;1250000),AND(B12&lt;&gt;"65歳以上",入力!H20&gt;600000)),1,"")))</f>
        <v/>
      </c>
      <c r="S12" s="307" t="str">
        <f>IF(N12="","",IF(AND(入力!$H$25&lt;&gt;"",入力!$C$19="全員申告済み",$AW$12=$AW$20),"該当",""))</f>
        <v/>
      </c>
      <c r="T12" s="332" t="str">
        <f>IF($O12="","",ROUNDDOWN($O12*税率・条件!$C$4/100,0))</f>
        <v/>
      </c>
      <c r="U12" s="310" t="str">
        <f>IF(入力!$P20="","",ROUNDDOWN(入力!$J20*税率・条件!$C$5/100,0))</f>
        <v/>
      </c>
      <c r="V12" s="310" t="str">
        <f>IF(入力!$P20="","",ROUNDDOWN(税率・条件!$C$6*(100%-IF(B12="未就学",税率・条件!$H$11,0%))*(100%-$M$34),0))</f>
        <v/>
      </c>
      <c r="W12" s="325"/>
      <c r="X12" s="315" t="str">
        <f t="shared" si="2"/>
        <v/>
      </c>
      <c r="Y12" s="313" t="str">
        <f>IF($O12="","",ROUNDDOWN($O12*税率・条件!$C$9/100,0))</f>
        <v/>
      </c>
      <c r="Z12" s="310" t="str">
        <f>IF(入力!$P20="","",ROUNDDOWN(入力!$J20*税率・条件!$C$10/100,0))</f>
        <v/>
      </c>
      <c r="AA12" s="310" t="str">
        <f>IF(入力!$P20="","",ROUNDDOWN(税率・条件!$C$11*(100%-IF(B12="未就学",税率・条件!$H$11,0%))*(100%-$M$34),0))</f>
        <v/>
      </c>
      <c r="AB12" s="325"/>
      <c r="AC12" s="315" t="str">
        <f t="shared" si="6"/>
        <v/>
      </c>
      <c r="AD12" s="313" t="str">
        <f>IF($P12="","",ROUNDDOWN($P12*税率・条件!$C$14/100,0))</f>
        <v/>
      </c>
      <c r="AE12" s="310" t="str">
        <f>IF(入力!$Q20="","",ROUNDDOWN(入力!$J20*税率・条件!$C$15/100,0))</f>
        <v/>
      </c>
      <c r="AF12" s="310" t="str">
        <f>IF(入力!$Q20="","",ROUNDDOWN(税率・条件!$C$16*(100%-$M$34),0))</f>
        <v/>
      </c>
      <c r="AG12" s="325"/>
      <c r="AH12" s="315" t="str">
        <f t="shared" si="3"/>
        <v/>
      </c>
      <c r="AI12" s="107" t="str">
        <f>IF(入力!$F$20="","",COUNTIF(AJ12:AU12,"●"))</f>
        <v/>
      </c>
      <c r="AJ12" s="111" t="str">
        <f>IF(入力!$F$20="","",IF(入力!$F$20&gt;=DATE(税率・条件!$C$1+2018,計算!AJ$3+1,1),"",IF(入力!$F$20&gt;=DATE(税率・条件!$C$1+2018-75,計算!AJ$3+1,1),IF(OR(AND(入力!L20="",OR(入力!M20="",入力!M20&gt;4,入力!M20&lt;4)),AND(入力!L20=4,OR(入力!M20="",入力!M20&gt;4,入力!M20&lt;4))),"●",""),"")))</f>
        <v/>
      </c>
      <c r="AK12" s="111" t="str">
        <f>IF(入力!$F$20="","",IF(入力!$F$20&gt;=DATE(税率・条件!$C$1+2018,計算!AK$3+1,1),"",IF(入力!$F$20&gt;=DATE(税率・条件!$C$1+2018-75,計算!AK$3+1,1),IF(OR(AND(入力!L20="",OR(入力!M20="",入力!M20&gt;5,入力!M20&lt;4)),AND(入力!L20=4,OR(入力!M20="",入力!M20&gt;5,入力!M20&lt;4)),AND(入力!L20=5,OR(入力!M20="",入力!M20&gt;5,入力!M20&lt;4))),"●",""),"")))</f>
        <v/>
      </c>
      <c r="AL12" s="111" t="str">
        <f>IF(入力!$F$20="","",IF(入力!$F$20&gt;=DATE(税率・条件!$C$1+2018,計算!AL$3+1,1),"",IF(入力!$F$20&gt;=DATE(税率・条件!$C$1+2018-75,計算!AL$3+1,1),IF(OR(AND(入力!L20="",OR(入力!M20="",入力!M20&gt;6,入力!M20&lt;4)),AND(入力!L20=4,OR(入力!M20="",入力!M20&gt;6,入力!M20&lt;4)),AND(入力!L20=5,OR(入力!M20="",入力!M20&gt;6,入力!M20&lt;4)),AND(入力!L20=6,OR(入力!M20="",入力!M20&gt;6,入力!M20&lt;4))),"●",""),"")))</f>
        <v/>
      </c>
      <c r="AM12" s="111" t="str">
        <f>IF(入力!$F$20="","",IF(入力!$F$20&gt;=DATE(税率・条件!$C$1+2018,計算!AM$3+1,1),"",IF(入力!$F$20&gt;=DATE(税率・条件!$C$1+2018-75,計算!AM$3+1,1),IF(OR(AND(入力!L20="",OR(入力!M20="",入力!M20&gt;7,入力!M20&lt;4)),AND(入力!L20=4,OR(入力!M20="",入力!M20&gt;7,入力!M20&lt;4)),AND(入力!L20=5,OR(入力!M20="",入力!M20&gt;7,入力!M20&lt;4)),AND(入力!L20=6,OR(入力!M20="",入力!M20&gt;7,入力!M20&lt;4)),AND(入力!L20=7,OR(入力!M20="",入力!M20&gt;7,入力!M20&lt;4))),"●",""),"")))</f>
        <v/>
      </c>
      <c r="AN12" s="111" t="str">
        <f>IF(入力!$F$20="","",IF(入力!$F$20&gt;=DATE(税率・条件!$C$1+2018,計算!AN$3+1,1),"",IF(入力!$F$20&gt;=DATE(税率・条件!$C$1+2018-75,計算!AN$3+1,1),IF(OR(AND(入力!L20="",OR(入力!M20="",入力!M20&gt;8,入力!M20&lt;4)),AND(入力!L20=4,OR(入力!M20="",入力!M20&gt;8,入力!M20&lt;4)),AND(入力!L20=5,OR(入力!M20="",入力!M20&gt;8,入力!M20&lt;4)),AND(入力!L20=6,OR(入力!M20="",入力!M20&gt;8,入力!M20&lt;4)),AND(入力!L20=7,OR(入力!M20="",入力!M20&gt;8,入力!M20&lt;4)),AND(入力!L20=8,OR(入力!M20="",入力!M20&gt;8,入力!M20&lt;4))),"●",""),"")))</f>
        <v/>
      </c>
      <c r="AO12" s="111" t="str">
        <f>IF(入力!$F$20="","",IF(入力!$F$20&gt;=DATE(税率・条件!$C$1+2018,計算!AO$3+1,1),"",IF(入力!$F$20&gt;=DATE(税率・条件!$C$1+2018-75,計算!AO$3+1,1),IF(OR(AND(入力!L20="",OR(入力!M20="",入力!M20&gt;9,入力!M20&lt;4)),AND(入力!L20=4,OR(入力!M20="",入力!M20&gt;9,入力!M20&lt;4)),AND(入力!L20=5,OR(入力!M20="",入力!M20&gt;9,入力!M20&lt;4)),AND(入力!L20=6,OR(入力!M20="",入力!M20&gt;9,入力!M20&lt;4)),AND(入力!L20=7,OR(入力!M20="",入力!M20&gt;9,入力!M20&lt;4)),AND(入力!L20=8,OR(入力!M20="",入力!M20&gt;9,入力!M20&lt;4)),AND(入力!L20=9,OR(入力!M20="",入力!M20&gt;9,入力!M20&lt;4))),"●",""),"")))</f>
        <v/>
      </c>
      <c r="AP12" s="111" t="str">
        <f>IF(入力!$F$20="","",IF(入力!$F$20&gt;=DATE(税率・条件!$C$1+2018,計算!AP$3+1,1),"",IF(入力!$F$20&gt;=DATE(税率・条件!$C$1+2018-75,計算!AP$3+1,1),IF(OR(AND(入力!L20="",OR(入力!M20="",入力!M20&gt;10,入力!M20&lt;4)),AND(入力!L20=4,OR(入力!M20="",入力!M20&gt;10,入力!M20&lt;4)),AND(入力!L20=5,OR(入力!M20="",入力!M20&gt;10,入力!M20&lt;4)),AND(入力!L20=6,OR(入力!M20="",入力!M20&gt;10,入力!M20&lt;4)),AND(入力!L20=7,OR(入力!M20="",入力!M20&gt;10,入力!M20&lt;4)),AND(入力!L20=8,OR(入力!M20="",入力!M20&gt;10,入力!M20&lt;4)),AND(入力!L20=9,OR(入力!M20="",入力!M20&gt;10,入力!M20&lt;4)),AND(入力!L20=10,OR(入力!M20="",入力!M20&gt;10,入力!M20&lt;4))),"●",""),"")))</f>
        <v/>
      </c>
      <c r="AQ12" s="111" t="str">
        <f>IF(入力!$F$20="","",IF(入力!$F$20&gt;=DATE(税率・条件!$C$1+2018,計算!AQ$3+1,1),"",IF(入力!$F$20&gt;=DATE(税率・条件!$C$1+2018-75,計算!AQ$3+1,1),IF(OR(AND(入力!L20="",OR(入力!M20="",入力!M20&gt;11,入力!M20&lt;4)),AND(入力!L20=4,OR(入力!M20="",入力!M20&gt;11,入力!M20&lt;4)),AND(入力!L20=5,OR(入力!M20="",入力!M20&gt;11,入力!M20&lt;4)),AND(入力!L20=6,OR(入力!M20="",入力!M20&gt;11,入力!M20&lt;4)),AND(入力!L20=7,OR(入力!M20="",入力!M20&gt;11,入力!M20&lt;4)),AND(入力!L20=8,OR(入力!M20="",入力!M20&gt;11,入力!M20&lt;4)),AND(入力!L20=9,OR(入力!M20="",入力!M20&gt;11,入力!M20&lt;4)),AND(入力!L20=10,OR(入力!M20="",入力!M20&gt;11,入力!M20&lt;4)),AND(入力!L20=11,OR(入力!M20="",入力!M20&gt;11,入力!M20&lt;4))),"●",""),"")))</f>
        <v/>
      </c>
      <c r="AR12" s="111" t="str">
        <f>IF(入力!$F$20="","",IF(入力!$F$20&gt;=DATE(税率・条件!$C$1+2018,計算!AR$3+1,1),"",IF(入力!$F$20&gt;=DATE(税率・条件!$C$1+2018-75,計算!AR$3+1,1),IF(OR(AND(入力!L20="",OR(入力!M20="",入力!M20&gt;12,入力!M20&lt;4)),AND(入力!L20=4,OR(入力!M20="",入力!M20&gt;12,入力!M20&lt;4)),AND(入力!L20=5,OR(入力!M20="",入力!M20&gt;12,入力!M20&lt;4)),AND(入力!L20=6,OR(入力!M20="",入力!M20&gt;12,入力!M20&lt;4)),AND(入力!L20=7,OR(入力!M20="",入力!M20&gt;12,入力!M20&lt;4)),AND(入力!L20=8,OR(入力!M20="",入力!M20&gt;12,入力!M20&lt;4)),AND(入力!L20=9,OR(入力!M20="",入力!M20&gt;12,入力!M20&lt;4)),AND(入力!L20=10,OR(入力!M20="",入力!M20&gt;12,入力!M20&lt;4)),AND(入力!L20=11,OR(入力!M20="",入力!M20&gt;12,入力!M20&lt;4)),AND(入力!L20=12,OR(入力!M20="",入力!M20&gt;12,入力!M20&lt;4))),"●",""),"")))</f>
        <v/>
      </c>
      <c r="AS12" s="111" t="str">
        <f>IF(入力!$F$20="","",IF(入力!$F$20&gt;=DATE(税率・条件!$C$1+2019,計算!AS$3+1,1),"",IF(入力!$F$20&gt;=DATE(税率・条件!$C$1+2019-75,計算!AS$3+1,1),IF(OR(AND(入力!L20="",OR(入力!M20="",入力!M20=2,入力!M20=3)),AND(入力!L20=4,OR(入力!M20="",入力!M20=2,入力!M20=3)),AND(入力!L20=5,OR(入力!M20="",入力!M20=2,入力!M20=3)),AND(入力!L20=6,OR(入力!M20="",入力!M20=2,入力!M20=3)),AND(入力!L20=7,OR(入力!M20="",入力!M20=2,入力!M20=3)),AND(入力!L20=8,OR(入力!M20="",入力!M20=2,入力!M20=3)),AND(入力!L20=9,OR(入力!M20="",入力!M20=2,入力!M20=3)),AND(入力!L20=10,OR(入力!M20="",入力!M20=2,入力!M20=3)),AND(入力!L20=11,OR(入力!M20="",入力!M20=2,入力!M20=3)),AND(入力!L20=12,OR(入力!M20="",入力!M20=2,入力!M20=3)),AND(入力!L20=1,OR(入力!M20="",入力!M20=2,入力!M20=3))),"●",""),"")))</f>
        <v/>
      </c>
      <c r="AT12" s="111" t="str">
        <f>IF(入力!$F$20="","",IF(入力!$F$20&gt;=DATE(税率・条件!$C$1+2019,計算!AT$3+1,1),"",IF(入力!$F$20&gt;=DATE(税率・条件!$C$1+2019-75,計算!AT$3+1,1),IF(OR(AND(入力!L20="",OR(入力!M20="",入力!M20=3)),AND(入力!L20=4,OR(入力!M20="",入力!M20=3)),AND(入力!L20=5,OR(入力!M20="",入力!M20=3)),AND(入力!L20=6,OR(入力!M20="",入力!M20=3)),AND(入力!L20=7,OR(入力!M20="",入力!M20=3)),AND(入力!L20=8,OR(入力!M20="",入力!M20=3)),AND(入力!L20=9,OR(入力!M20="",入力!M20=3)),AND(入力!L20=10,OR(入力!M20="",入力!M20=3)),AND(入力!L20=11,OR(入力!M20="",入力!M20=3)),AND(入力!L20=12,OR(入力!M20="",入力!M20=3)),AND(入力!L20=1,OR(入力!M20="",入力!M20=3)),AND(入力!L20=2,OR(入力!M20="",入力!M20=3))),"●",""),"")))</f>
        <v/>
      </c>
      <c r="AU12" s="112" t="str">
        <f>IF(入力!$F$20="","",IF(入力!$F$20&gt;=DATE(税率・条件!$C$1+2019,計算!AU$3+1,1),"",IF(入力!$F$20&gt;=DATE(税率・条件!$C$1+2019-75,計算!AU$3+1,1),IF(OR(AND(入力!L20="",入力!M20=""),AND(入力!L20=4,入力!M20=""),AND(入力!L20=5,入力!M20=""),AND(入力!L20=6,入力!M20=""),AND(入力!L20=7,入力!M20=""),AND(入力!L20=8,入力!M20=""),AND(入力!L20=9,入力!M20=""),AND(入力!L20=10,入力!M20=""),AND(入力!L20=11,入力!M20=""),AND(入力!L20=12,入力!M20=""),AND(入力!L20=1,入力!M20=""),AND(入力!L20=2,入力!M20=""),AND(入力!L20=3,入力!M20="")),"●",""),"")))</f>
        <v/>
      </c>
      <c r="AW12" s="94" t="str">
        <f>IF(AND(AJ$20=1,AJ12="●"),4,IF(AND(AK$20=1,AK12="●"),5,IF(AND(AL$20=1,AL12="●"),6,IF(AND(AM$20=1,AM12="●"),7,IF(AND(AN$20=1,AN12="●"),8,IF(AND(AO$20=1,AO12="●"),9,IF(AND(AP$20=1,AP12="●"),10,IF(AND(AQ$20=1,AQ12="●"),11,IF(AND(AR$20=1,AR12="●"),12,IF(AND(AS$20=1,AS12="●"),1,IF(AND(AT$20=1,AT12="●"),2,IF(AND(AU$20=1,AU12="●"),3,""))))))))))))</f>
        <v/>
      </c>
      <c r="AY12" s="180" t="s">
        <v>179</v>
      </c>
      <c r="AZ12" s="188">
        <f t="shared" ref="AZ12:BK12" si="10">ROUND(ROUNDDOWN(IF(AJ$20="",0,$AB4),0)/12,2)</f>
        <v>0</v>
      </c>
      <c r="BA12" s="188">
        <f t="shared" si="10"/>
        <v>0</v>
      </c>
      <c r="BB12" s="188">
        <f t="shared" si="10"/>
        <v>0</v>
      </c>
      <c r="BC12" s="188">
        <f t="shared" si="10"/>
        <v>0</v>
      </c>
      <c r="BD12" s="188">
        <f t="shared" si="10"/>
        <v>0</v>
      </c>
      <c r="BE12" s="188">
        <f t="shared" si="10"/>
        <v>0</v>
      </c>
      <c r="BF12" s="188">
        <f t="shared" si="10"/>
        <v>0</v>
      </c>
      <c r="BG12" s="188">
        <f t="shared" si="10"/>
        <v>0</v>
      </c>
      <c r="BH12" s="188">
        <f t="shared" si="10"/>
        <v>0</v>
      </c>
      <c r="BI12" s="188">
        <f t="shared" si="10"/>
        <v>0</v>
      </c>
      <c r="BJ12" s="188">
        <f t="shared" si="10"/>
        <v>0</v>
      </c>
      <c r="BK12" s="188">
        <f t="shared" si="10"/>
        <v>0</v>
      </c>
      <c r="BL12" s="192">
        <f t="shared" si="8"/>
        <v>0</v>
      </c>
      <c r="BM12" s="184">
        <f>ROUNDDOWN(ROUND(BL12,1),0)</f>
        <v>0</v>
      </c>
    </row>
    <row r="13" spans="1:65" ht="18.95" customHeight="1" thickBot="1" x14ac:dyDescent="0.2">
      <c r="A13" s="358"/>
      <c r="B13" s="355"/>
      <c r="C13" s="360"/>
      <c r="D13" s="311"/>
      <c r="E13" s="311"/>
      <c r="F13" s="311"/>
      <c r="G13" s="353"/>
      <c r="H13" s="349"/>
      <c r="I13" s="314"/>
      <c r="J13" s="311"/>
      <c r="K13" s="311"/>
      <c r="L13" s="349"/>
      <c r="M13" s="347"/>
      <c r="N13" s="314"/>
      <c r="O13" s="311"/>
      <c r="P13" s="338"/>
      <c r="Q13" s="340"/>
      <c r="R13" s="342"/>
      <c r="S13" s="308"/>
      <c r="T13" s="334"/>
      <c r="U13" s="311"/>
      <c r="V13" s="311"/>
      <c r="W13" s="328"/>
      <c r="X13" s="316"/>
      <c r="Y13" s="314"/>
      <c r="Z13" s="311"/>
      <c r="AA13" s="311"/>
      <c r="AB13" s="328"/>
      <c r="AC13" s="316"/>
      <c r="AD13" s="314"/>
      <c r="AE13" s="311"/>
      <c r="AF13" s="311"/>
      <c r="AG13" s="328"/>
      <c r="AH13" s="316"/>
      <c r="AI13" s="108" t="str">
        <f>IF(入力!$F$20="","",COUNTIF(AJ13:AU13,"■"))</f>
        <v/>
      </c>
      <c r="AJ13" s="109" t="str">
        <f>IF(入力!$F$20="","",IF(AND(入力!$F$20&gt;DATE(税率・条件!$C$1+2018-65,計算!AJ$3+1,1),入力!$F$20&lt;=DATE(税率・条件!$C$1+2018-40,計算!AJ$3+1,1)),IF(OR(AND(入力!L20="",OR(入力!M20="",入力!M20&gt;4,入力!M20&lt;4)),AND(入力!L20=4,OR(入力!M20="",入力!M20&gt;4,入力!M20&lt;4))),"■",""),""))</f>
        <v/>
      </c>
      <c r="AK13" s="109" t="str">
        <f>IF(入力!$F$20="","",IF(AND(入力!$F$20&gt;DATE(税率・条件!$C$1+2018-65,計算!AK$3+1,1),入力!$F$20&lt;=DATE(税率・条件!$C$1+2018-40,計算!AK$3+1,1)),IF(OR(AND(入力!L20="",OR(入力!M20="",入力!M20&gt;5,入力!M20&lt;4)),AND(入力!L20=4,OR(入力!M20="",入力!M20&gt;5,入力!M20&lt;4)),AND(入力!L20=5,OR(入力!M20="",入力!M20&gt;5,入力!M20&lt;4))),"■",""),""))</f>
        <v/>
      </c>
      <c r="AL13" s="109" t="str">
        <f>IF(入力!$F$20="","",IF(AND(入力!$F$20&gt;DATE(税率・条件!$C$1+2018-65,計算!AL$3+1,1),入力!$F$20&lt;=DATE(税率・条件!$C$1+2018-40,計算!AL$3+1,1)),IF(OR(AND(入力!L20="",OR(入力!M20="",入力!M20&gt;6,入力!M20&lt;4)),AND(入力!L20=4,OR(入力!M20="",入力!M20&gt;6,入力!M20&lt;4)),AND(入力!L20=5,OR(入力!M20="",入力!M20&gt;6,入力!M20&lt;4)),AND(入力!L20=6,OR(入力!M20="",入力!M20&gt;6,入力!M20&lt;4))),"■",""),""))</f>
        <v/>
      </c>
      <c r="AM13" s="109" t="str">
        <f>IF(入力!$F$20="","",IF(AND(入力!$F$20&gt;DATE(税率・条件!$C$1+2018-65,計算!AM$3+1,1),入力!$F$20&lt;=DATE(税率・条件!$C$1+2018-40,計算!AM$3+1,1)),IF(OR(AND(入力!L20="",OR(入力!M20="",入力!M20&gt;7,入力!M20&lt;4)),AND(入力!L20=4,OR(入力!M20="",入力!M20&gt;7,入力!M20&lt;4)),AND(入力!L20=5,OR(入力!M20="",入力!M20&gt;7,入力!M20&lt;4)),AND(入力!L20=6,OR(入力!M20="",入力!M20&gt;7,入力!M20&lt;4)),AND(入力!L20=7,OR(入力!M20="",入力!M20&gt;7,入力!M20&lt;4))),"■",""),""))</f>
        <v/>
      </c>
      <c r="AN13" s="109" t="str">
        <f>IF(入力!$F$20="","",IF(AND(入力!$F$20&gt;DATE(税率・条件!$C$1+2018-65,計算!AN$3+1,1),入力!$F$20&lt;=DATE(税率・条件!$C$1+2018-40,計算!AN$3+1,1)),IF(OR(AND(入力!L20="",OR(入力!M20="",入力!M20&gt;8,入力!M20&lt;4)),AND(入力!L20=4,OR(入力!M20="",入力!M20&gt;8,入力!M20&lt;4)),AND(入力!L20=5,OR(入力!M20="",入力!M20&gt;8,入力!M20&lt;4)),AND(入力!L20=6,OR(入力!M20="",入力!M20&gt;8,入力!M20&lt;4)),AND(入力!L20=7,OR(入力!M20="",入力!M20&gt;8,入力!M20&lt;4)),AND(入力!L20=8,OR(入力!M20="",入力!M20&gt;8,入力!M20&lt;4))),"■",""),""))</f>
        <v/>
      </c>
      <c r="AO13" s="109" t="str">
        <f>IF(入力!$F$20="","",IF(AND(入力!$F$20&gt;DATE(税率・条件!$C$1+2018-65,計算!AO$3+1,1),入力!$F$20&lt;=DATE(税率・条件!$C$1+2018-40,計算!AO$3+1,1)),IF(OR(AND(入力!L20="",OR(入力!M20="",入力!M20&gt;9,入力!M20&lt;4)),AND(入力!L20=4,OR(入力!M20="",入力!M20&gt;9,入力!M20&lt;4)),AND(入力!L20=5,OR(入力!M20="",入力!M20&gt;9,入力!M20&lt;4)),AND(入力!L20=6,OR(入力!M20="",入力!M20&gt;9,入力!M20&lt;4)),AND(入力!L20=7,OR(入力!M20="",入力!M20&gt;9,入力!M20&lt;4)),AND(入力!L20=8,OR(入力!M20="",入力!M20&gt;9,入力!M20&lt;4)),AND(入力!L20=9,OR(入力!M20="",入力!M20&gt;9,入力!M20&lt;4))),"■",""),""))</f>
        <v/>
      </c>
      <c r="AP13" s="109" t="str">
        <f>IF(入力!$F$20="","",IF(AND(入力!$F$20&gt;DATE(税率・条件!$C$1+2018-65,計算!AP$3+1,1),入力!$F$20&lt;=DATE(税率・条件!$C$1+2018-40,計算!AP$3+1,1)),IF(OR(AND(入力!L20="",OR(入力!M20="",入力!M20&gt;10,入力!M20&lt;4)),AND(入力!L20=4,OR(入力!M20="",入力!M20&gt;10,入力!M20&lt;4)),AND(入力!L20=5,OR(入力!M20="",入力!M20&gt;10,入力!M20&lt;4)),AND(入力!L20=6,OR(入力!M20="",入力!M20&gt;10,入力!M20&lt;4)),AND(入力!L20=7,OR(入力!M20="",入力!M20&gt;10,入力!M20&lt;4)),AND(入力!L20=8,OR(入力!M20="",入力!M20&gt;10,入力!M20&lt;4)),AND(入力!L20=9,OR(入力!M20="",入力!M20&gt;10,入力!M20&lt;4)),AND(入力!L20=10,OR(入力!M20="",入力!M20&gt;10,入力!M20&lt;4))),"■",""),""))</f>
        <v/>
      </c>
      <c r="AQ13" s="109" t="str">
        <f>IF(入力!$F$20="","",IF(AND(入力!$F$20&gt;DATE(税率・条件!$C$1+2018-65,計算!AQ$3+1,1),入力!$F$20&lt;=DATE(税率・条件!$C$1+2018-40,計算!AQ$3+1,1)),IF(OR(AND(入力!L20="",OR(入力!M20="",入力!M20&gt;11,入力!M20&lt;4)),AND(入力!L20=4,OR(入力!M20="",入力!M20&gt;11,入力!M20&lt;4)),AND(入力!L20=5,OR(入力!M20="",入力!M20&gt;11,入力!M20&lt;4)),AND(入力!L20=6,OR(入力!M20="",入力!M20&gt;11,入力!M20&lt;4)),AND(入力!L20=7,OR(入力!M20="",入力!M20&gt;11,入力!M20&lt;4)),AND(入力!L20=8,OR(入力!M20="",入力!M20&gt;11,入力!M20&lt;4)),AND(入力!L20=9,OR(入力!M20="",入力!M20&gt;11,入力!M20&lt;4)),AND(入力!L20=10,OR(入力!M20="",入力!M20&gt;11,入力!M20&lt;4)),AND(入力!L20=11,OR(入力!M20="",入力!M20&gt;11,入力!M20&lt;4))),"■",""),""))</f>
        <v/>
      </c>
      <c r="AR13" s="109" t="str">
        <f>IF(入力!$F$20="","",IF(AND(入力!$F$20&gt;DATE(税率・条件!$C$1+2018-65,計算!AR$3+1,1),入力!$F$20&lt;=DATE(税率・条件!$C$1+2018-40,計算!AR$3+1,1)),IF(OR(AND(入力!L20="",OR(入力!M20="",入力!M20&gt;12,入力!M20&lt;4)),AND(入力!L20=4,OR(入力!M20="",入力!M20&gt;12,入力!M20&lt;4)),AND(入力!L20=5,OR(入力!M20="",入力!M20&gt;12,入力!M20&lt;4)),AND(入力!L20=6,OR(入力!M20="",入力!M20&gt;12,入力!M20&lt;4)),AND(入力!L20=7,OR(入力!M20="",入力!M20&gt;12,入力!M20&lt;4)),AND(入力!L20=8,OR(入力!M20="",入力!M20&gt;12,入力!M20&lt;4)),AND(入力!L20=9,OR(入力!M20="",入力!M20&gt;12,入力!M20&lt;4)),AND(入力!L20=10,OR(入力!M20="",入力!M20&gt;12,入力!M20&lt;4)),AND(入力!L20=11,OR(入力!M20="",入力!M20&gt;12,入力!M20&lt;4)),AND(入力!L20=12,OR(入力!M20="",入力!M20&gt;12,入力!M20&lt;4))),"■",""),""))</f>
        <v/>
      </c>
      <c r="AS13" s="109" t="str">
        <f>IF(入力!$F$20="","",IF(AND(入力!$F$20&gt;DATE(税率・条件!$C$1+2019-65,計算!AS$3+1,1),入力!$F$20&lt;=DATE(税率・条件!$C$1+2019-40,計算!AS$3+1,1)),IF(OR(AND(入力!L20="",OR(入力!M20="",入力!M20=2,入力!M20=3)),AND(入力!L20=4,OR(入力!M20="",入力!M20=2,入力!M20=3)),AND(入力!L20=5,OR(入力!M20="",入力!M20=2,入力!M20=3)),AND(入力!L20=6,OR(入力!M20="",入力!M20=2,入力!M20=3)),AND(入力!L20=7,OR(入力!M20="",入力!M20=2,入力!M20=3)),AND(入力!L20=8,OR(入力!M20="",入力!M20=2,入力!M20=3)),AND(入力!L20=9,OR(入力!M20="",入力!M20=2,入力!M20=3)),AND(入力!L20=10,OR(入力!M20="",入力!M20=2,入力!M20=3)),AND(入力!L20=11,OR(入力!M20="",入力!M20=2,入力!M20=3)),AND(入力!L20=12,OR(入力!M20="",入力!M20=2,入力!M20=3)),AND(入力!L20=1,OR(入力!M20="",入力!M20=2,入力!M20=3))),"■",""),""))</f>
        <v/>
      </c>
      <c r="AT13" s="109" t="str">
        <f>IF(入力!$F$20="","",IF(AND(入力!$F$20&gt;DATE(税率・条件!$C$1+2019-65,計算!AT$3+1,1),入力!$F$20&lt;=DATE(税率・条件!$C$1+2019-40,計算!AT$3+1,1)),IF(OR(AND(入力!L20="",OR(入力!M20="",入力!M20=3)),AND(入力!L20=4,OR(入力!M20="",入力!M20=3)),AND(入力!L20=5,OR(入力!M20="",入力!M20=3)),AND(入力!L20=6,OR(入力!M20="",入力!M20=3)),AND(入力!L20=7,OR(入力!M20="",入力!M20=3)),AND(入力!L20=8,OR(入力!M20="",入力!M20=3)),AND(入力!L20=9,OR(入力!M20="",入力!M20=3)),AND(入力!L20=10,OR(入力!M20="",入力!M20=3)),AND(入力!L20=11,OR(入力!M20="",入力!M20=3)),AND(入力!L20=12,OR(入力!M20="",入力!M20=3)),AND(入力!L20=1,OR(入力!M20="",入力!M20=3)),AND(入力!L20=2,OR(入力!M20="",入力!M20=3))),"■",""),""))</f>
        <v/>
      </c>
      <c r="AU13" s="110" t="str">
        <f>IF(入力!$F$20="","",IF(AND(入力!$F$20&gt;DATE(税率・条件!$C$1+2019-65,計算!AU$3+1,1),入力!$F$20&lt;=DATE(税率・条件!$C$1+2019-40,計算!AU$3+1,1)),IF(OR(AND(入力!L20="",入力!M20=""),AND(入力!L20=4,入力!M20=""),AND(入力!L20=5,入力!M20=""),AND(入力!L20=6,入力!M20=""),AND(入力!L20=7,入力!M20=""),AND(入力!L20=8,入力!M20=""),AND(入力!L20=9,入力!M20=""),AND(入力!L20=10,入力!M20=""),AND(入力!L20=11,入力!M20=""),AND(入力!L20=12,入力!M20=""),AND(入力!L20=1,入力!M20=""),AND(入力!L20=2,入力!M20=""),AND(入力!L20=3,入力!M20="")),"■",""),""))</f>
        <v/>
      </c>
      <c r="AY13" s="181" t="s">
        <v>186</v>
      </c>
      <c r="AZ13" s="185">
        <f>SUM(AZ9:AZ12)</f>
        <v>0</v>
      </c>
      <c r="BA13" s="185">
        <f t="shared" ref="BA13" si="11">SUM(BA9:BA12)</f>
        <v>0</v>
      </c>
      <c r="BB13" s="185">
        <f t="shared" ref="BB13" si="12">SUM(BB9:BB12)</f>
        <v>0</v>
      </c>
      <c r="BC13" s="185">
        <f t="shared" ref="BC13" si="13">SUM(BC9:BC12)</f>
        <v>0</v>
      </c>
      <c r="BD13" s="185">
        <f t="shared" ref="BD13" si="14">SUM(BD9:BD12)</f>
        <v>0</v>
      </c>
      <c r="BE13" s="185">
        <f t="shared" ref="BE13" si="15">SUM(BE9:BE12)</f>
        <v>0</v>
      </c>
      <c r="BF13" s="185">
        <f t="shared" ref="BF13" si="16">SUM(BF9:BF12)</f>
        <v>0</v>
      </c>
      <c r="BG13" s="185">
        <f t="shared" ref="BG13" si="17">SUM(BG9:BG12)</f>
        <v>0</v>
      </c>
      <c r="BH13" s="185">
        <f t="shared" ref="BH13" si="18">SUM(BH9:BH12)</f>
        <v>0</v>
      </c>
      <c r="BI13" s="185">
        <f t="shared" ref="BI13" si="19">SUM(BI9:BI12)</f>
        <v>0</v>
      </c>
      <c r="BJ13" s="185">
        <f t="shared" ref="BJ13" si="20">SUM(BJ9:BJ12)</f>
        <v>0</v>
      </c>
      <c r="BK13" s="185">
        <f t="shared" ref="BK13" si="21">SUM(BK9:BK12)</f>
        <v>0</v>
      </c>
      <c r="BL13" s="185">
        <f>SUM(AZ13:BK13)</f>
        <v>0</v>
      </c>
      <c r="BM13" s="186">
        <f t="shared" si="1"/>
        <v>0</v>
      </c>
    </row>
    <row r="14" spans="1:65" ht="18.95" customHeight="1" x14ac:dyDescent="0.15">
      <c r="A14" s="357" t="str">
        <f>入力!E21</f>
        <v>６</v>
      </c>
      <c r="B14" s="354" t="str">
        <f>IF(入力!F21="","",IF(入力!F21&lt;=DATE(税率・条件!C1+1953,1,1),"65歳以上",IF(入力!F21&gt;DATE(税率・条件!C1+2012,4,1),"未就学","一般")))</f>
        <v/>
      </c>
      <c r="C14" s="359" t="str">
        <f>IF(D14="","",IF(入力!K21="該 当","該当","非該当"))</f>
        <v/>
      </c>
      <c r="D14" s="336" t="str">
        <f>IF(入力!G21="","",ROUNDDOWN(VLOOKUP(入力!G21,$B$24:$J$35,7,1)*IF(入力!K21="該 当",0.3,1),0))</f>
        <v/>
      </c>
      <c r="E14" s="336" t="str">
        <f>IF(D14="","",IF(OR(D14="",K14=""),0,IF(D14+K14&lt;100000,0,IF(D14&lt;100000,D14,100000)+IF(K14&lt;100000,K14,100000)-100000)))</f>
        <v/>
      </c>
      <c r="F14" s="336" t="str">
        <f>IF(D14="","",D14-E14)</f>
        <v/>
      </c>
      <c r="G14" s="350" t="str">
        <f>IF(D14="","",IF(OR(D14="",L14=""),0,IF(D14+L14&lt;100000,0,IF(D14&lt;100000,D14,100000)+IF(L14&lt;100000,L14,100000)-100000)))</f>
        <v/>
      </c>
      <c r="H14" s="348" t="str">
        <f>IF(D14="","",D14-G14)</f>
        <v/>
      </c>
      <c r="I14" s="335" t="str">
        <f>IF(入力!H21="","",IF(B14="65歳以上",VLOOKUP(入力!H21,$B$48:$D$52,2,1),VLOOKUP(入力!H21,$B$40:$D$44,2,1)))</f>
        <v/>
      </c>
      <c r="J14" s="336" t="str">
        <f>IF(I14="","",IF(B14="65歳以上",VLOOKUP(入力!H21,$B$48:$D$52,3,1),VLOOKUP(入力!H21,$B$40:$D$44,3,1)))</f>
        <v/>
      </c>
      <c r="K14" s="336" t="str">
        <f>IF(I14="","",IF(入力!H21*計算!I14/100-計算!J14&lt;0,0,ROUNDDOWN(入力!H21*計算!I14/100-計算!J14,0)))</f>
        <v/>
      </c>
      <c r="L14" s="348" t="str">
        <f>IF(K14="","",IF(B14="65歳以上",IF(K14&lt;税率・条件!$G$9,0,K14-税率・条件!$G$9),K14))</f>
        <v/>
      </c>
      <c r="M14" s="346" t="str">
        <f>IF(入力!I21="","",入力!I21)</f>
        <v/>
      </c>
      <c r="N14" s="335" t="str">
        <f>IF(入力!F21="","",SUM(F14,K14,M14))</f>
        <v/>
      </c>
      <c r="O14" s="336" t="str">
        <f>IF(入力!P21&lt;&gt;"",IF(計算!N14-430000&gt;0,計算!N14-430000,0),"")</f>
        <v/>
      </c>
      <c r="P14" s="337" t="str">
        <f>IF(入力!Q21&lt;&gt;"",IF(計算!N14-430000&gt;0,計算!N14-430000,0),"")</f>
        <v/>
      </c>
      <c r="Q14" s="339" t="str">
        <f>IF(N14="","",IF(AW14&lt;&gt;AW20,"",SUM(H14,L14,M14)))</f>
        <v/>
      </c>
      <c r="R14" s="341" t="str">
        <f>IF(AND(D14="",K14=""),"",IF(AW14&lt;&gt;AW20,"",IF(OR(入力!G21&gt;550000,AND(B14="65歳以上",入力!H21&gt;1250000),AND(B14&lt;&gt;"65歳以上",入力!H21&gt;600000)),1,"")))</f>
        <v/>
      </c>
      <c r="S14" s="307" t="str">
        <f>IF(N14="","",IF(AND(入力!$H$25&lt;&gt;"",入力!$C$19="全員申告済み",$AW$14=$AW$20),"該当",""))</f>
        <v/>
      </c>
      <c r="T14" s="332" t="str">
        <f>IF($O14="","",ROUNDDOWN($O14*税率・条件!$C$4/100,0))</f>
        <v/>
      </c>
      <c r="U14" s="310" t="str">
        <f>IF(入力!$P21="","",ROUNDDOWN(入力!$J21*税率・条件!$C$5/100,0))</f>
        <v/>
      </c>
      <c r="V14" s="310" t="str">
        <f>IF(入力!$P21="","",ROUNDDOWN(税率・条件!$C$6*(100%-IF(B14="未就学",税率・条件!$H$11,0%))*(100%-$M$34),0))</f>
        <v/>
      </c>
      <c r="W14" s="325"/>
      <c r="X14" s="315" t="str">
        <f>IF(SUM(T14:W14)&gt;0,SUM(T14:W14),"")</f>
        <v/>
      </c>
      <c r="Y14" s="313" t="str">
        <f>IF($O14="","",ROUNDDOWN($O14*税率・条件!$C$9/100,0))</f>
        <v/>
      </c>
      <c r="Z14" s="310" t="str">
        <f>IF(入力!$P21="","",ROUNDDOWN(入力!$J21*税率・条件!$C$10/100,0))</f>
        <v/>
      </c>
      <c r="AA14" s="310" t="str">
        <f>IF(入力!$P21="","",ROUNDDOWN(税率・条件!$C$11*(100%-IF(B14="未就学",税率・条件!$H$11,0%))*(100%-$M$34),0))</f>
        <v/>
      </c>
      <c r="AB14" s="325"/>
      <c r="AC14" s="315" t="str">
        <f t="shared" si="6"/>
        <v/>
      </c>
      <c r="AD14" s="313" t="str">
        <f>IF($P14="","",ROUNDDOWN($P14*税率・条件!$C$14/100,0))</f>
        <v/>
      </c>
      <c r="AE14" s="310" t="str">
        <f>IF(入力!$Q21="","",ROUNDDOWN(入力!$J21*税率・条件!$C$15/100,0))</f>
        <v/>
      </c>
      <c r="AF14" s="310" t="str">
        <f>IF(入力!$Q21="","",ROUNDDOWN(税率・条件!$C$16*(100%-$M$34),0))</f>
        <v/>
      </c>
      <c r="AG14" s="325"/>
      <c r="AH14" s="315" t="str">
        <f t="shared" si="3"/>
        <v/>
      </c>
      <c r="AI14" s="107" t="str">
        <f>IF(入力!$F$21="","",COUNTIF(AJ14:AU14,"●"))</f>
        <v/>
      </c>
      <c r="AJ14" s="111" t="str">
        <f>IF(入力!$F$21="","",IF(入力!$F$21&gt;=DATE(税率・条件!$C$1+2018,計算!AJ$3+1,1),"",IF(入力!$F$21&gt;=DATE(税率・条件!$C$1+2018-75,計算!AJ$3+1,1),IF(OR(AND(入力!L21="",OR(入力!M21="",入力!M21&gt;4,入力!M21&lt;4)),AND(入力!L21=4,OR(入力!M21="",入力!M21&gt;4,入力!M21&lt;4))),"●",""),"")))</f>
        <v/>
      </c>
      <c r="AK14" s="111" t="str">
        <f>IF(入力!$F$21="","",IF(入力!$F$21&gt;=DATE(税率・条件!$C$1+2018,計算!AK$3+1,1),"",IF(入力!$F$21&gt;=DATE(税率・条件!$C$1+2018-75,計算!AK$3+1,1),IF(OR(AND(入力!L21="",OR(入力!M21="",入力!M21&gt;5,入力!M21&lt;4)),AND(入力!L21=4,OR(入力!M21="",入力!M21&gt;5,入力!M21&lt;4)),AND(入力!L21=5,OR(入力!M21="",入力!M21&gt;5,入力!M21&lt;4))),"●",""),"")))</f>
        <v/>
      </c>
      <c r="AL14" s="111" t="str">
        <f>IF(入力!$F$21="","",IF(入力!$F$21&gt;=DATE(税率・条件!$C$1+2018,計算!AL$3+1,1),"",IF(入力!$F$21&gt;=DATE(税率・条件!$C$1+2018-75,計算!AL$3+1,1),IF(OR(AND(入力!L21="",OR(入力!M21="",入力!M21&gt;6,入力!M21&lt;4)),AND(入力!L21=4,OR(入力!M21="",入力!M21&gt;6,入力!M21&lt;4)),AND(入力!L21=5,OR(入力!M21="",入力!M21&gt;6,入力!M21&lt;4)),AND(入力!L21=6,OR(入力!M21="",入力!M21&gt;6,入力!M21&lt;4))),"●",""),"")))</f>
        <v/>
      </c>
      <c r="AM14" s="111" t="str">
        <f>IF(入力!$F$21="","",IF(入力!$F$21&gt;=DATE(税率・条件!$C$1+2018,計算!AM$3+1,1),"",IF(入力!$F$21&gt;=DATE(税率・条件!$C$1+2018-75,計算!AM$3+1,1),IF(OR(AND(入力!L21="",OR(入力!M21="",入力!M21&gt;7,入力!M21&lt;4)),AND(入力!L21=4,OR(入力!M21="",入力!M21&gt;7,入力!M21&lt;4)),AND(入力!L21=5,OR(入力!M21="",入力!M21&gt;7,入力!M21&lt;4)),AND(入力!L21=6,OR(入力!M21="",入力!M21&gt;7,入力!M21&lt;4)),AND(入力!L21=7,OR(入力!M21="",入力!M21&gt;7,入力!M21&lt;4))),"●",""),"")))</f>
        <v/>
      </c>
      <c r="AN14" s="111" t="str">
        <f>IF(入力!$F$21="","",IF(入力!$F$21&gt;=DATE(税率・条件!$C$1+2018,計算!AN$3+1,1),"",IF(入力!$F$21&gt;=DATE(税率・条件!$C$1+2018-75,計算!AN$3+1,1),IF(OR(AND(入力!L21="",OR(入力!M21="",入力!M21&gt;8,入力!M21&lt;4)),AND(入力!L21=4,OR(入力!M21="",入力!M21&gt;8,入力!M21&lt;4)),AND(入力!L21=5,OR(入力!M21="",入力!M21&gt;8,入力!M21&lt;4)),AND(入力!L21=6,OR(入力!M21="",入力!M21&gt;8,入力!M21&lt;4)),AND(入力!L21=7,OR(入力!M21="",入力!M21&gt;8,入力!M21&lt;4)),AND(入力!L21=8,OR(入力!M21="",入力!M21&gt;8,入力!M21&lt;4))),"●",""),"")))</f>
        <v/>
      </c>
      <c r="AO14" s="111" t="str">
        <f>IF(入力!$F$21="","",IF(入力!$F$21&gt;=DATE(税率・条件!$C$1+2018,計算!AO$3+1,1),"",IF(入力!$F$21&gt;=DATE(税率・条件!$C$1+2018-75,計算!AO$3+1,1),IF(OR(AND(入力!L21="",OR(入力!M21="",入力!M21&gt;9,入力!M21&lt;4)),AND(入力!L21=4,OR(入力!M21="",入力!M21&gt;9,入力!M21&lt;4)),AND(入力!L21=5,OR(入力!M21="",入力!M21&gt;9,入力!M21&lt;4)),AND(入力!L21=6,OR(入力!M21="",入力!M21&gt;9,入力!M21&lt;4)),AND(入力!L21=7,OR(入力!M21="",入力!M21&gt;9,入力!M21&lt;4)),AND(入力!L21=8,OR(入力!M21="",入力!M21&gt;9,入力!M21&lt;4)),AND(入力!L21=9,OR(入力!M21="",入力!M21&gt;9,入力!M21&lt;4))),"●",""),"")))</f>
        <v/>
      </c>
      <c r="AP14" s="111" t="str">
        <f>IF(入力!$F$21="","",IF(入力!$F$21&gt;=DATE(税率・条件!$C$1+2018,計算!AP$3+1,1),"",IF(入力!$F$21&gt;=DATE(税率・条件!$C$1+2018-75,計算!AP$3+1,1),IF(OR(AND(入力!L21="",OR(入力!M21="",入力!M21&gt;10,入力!M21&lt;4)),AND(入力!L21=4,OR(入力!M21="",入力!M21&gt;10,入力!M21&lt;4)),AND(入力!L21=5,OR(入力!M21="",入力!M21&gt;10,入力!M21&lt;4)),AND(入力!L21=6,OR(入力!M21="",入力!M21&gt;10,入力!M21&lt;4)),AND(入力!L21=7,OR(入力!M21="",入力!M21&gt;10,入力!M21&lt;4)),AND(入力!L21=8,OR(入力!M21="",入力!M21&gt;10,入力!M21&lt;4)),AND(入力!L21=9,OR(入力!M21="",入力!M21&gt;10,入力!M21&lt;4)),AND(入力!L21=10,OR(入力!M21="",入力!M21&gt;10,入力!M21&lt;4))),"●",""),"")))</f>
        <v/>
      </c>
      <c r="AQ14" s="111" t="str">
        <f>IF(入力!$F$21="","",IF(入力!$F$21&gt;=DATE(税率・条件!$C$1+2018,計算!AQ$3+1,1),"",IF(入力!$F$21&gt;=DATE(税率・条件!$C$1+2018-75,計算!AQ$3+1,1),IF(OR(AND(入力!L21="",OR(入力!M21="",入力!M21&gt;11,入力!M21&lt;4)),AND(入力!L21=4,OR(入力!M21="",入力!M21&gt;11,入力!M21&lt;4)),AND(入力!L21=5,OR(入力!M21="",入力!M21&gt;11,入力!M21&lt;4)),AND(入力!L21=6,OR(入力!M21="",入力!M21&gt;11,入力!M21&lt;4)),AND(入力!L21=7,OR(入力!M21="",入力!M21&gt;11,入力!M21&lt;4)),AND(入力!L21=8,OR(入力!M21="",入力!M21&gt;11,入力!M21&lt;4)),AND(入力!L21=9,OR(入力!M21="",入力!M21&gt;11,入力!M21&lt;4)),AND(入力!L21=10,OR(入力!M21="",入力!M21&gt;11,入力!M21&lt;4)),AND(入力!L21=11,OR(入力!M21="",入力!M21&gt;11,入力!M21&lt;4))),"●",""),"")))</f>
        <v/>
      </c>
      <c r="AR14" s="111" t="str">
        <f>IF(入力!$F$21="","",IF(入力!$F$21&gt;=DATE(税率・条件!$C$1+2018,計算!AR$3+1,1),"",IF(入力!$F$21&gt;=DATE(税率・条件!$C$1+2018-75,計算!AR$3+1,1),IF(OR(AND(入力!L21="",OR(入力!M21="",入力!M21&gt;12,入力!M21&lt;4)),AND(入力!L21=4,OR(入力!M21="",入力!M21&gt;12,入力!M21&lt;4)),AND(入力!L21=5,OR(入力!M21="",入力!M21&gt;12,入力!M21&lt;4)),AND(入力!L21=6,OR(入力!M21="",入力!M21&gt;12,入力!M21&lt;4)),AND(入力!L21=7,OR(入力!M21="",入力!M21&gt;12,入力!M21&lt;4)),AND(入力!L21=8,OR(入力!M21="",入力!M21&gt;12,入力!M21&lt;4)),AND(入力!L21=9,OR(入力!M21="",入力!M21&gt;12,入力!M21&lt;4)),AND(入力!L21=10,OR(入力!M21="",入力!M21&gt;12,入力!M21&lt;4)),AND(入力!L21=11,OR(入力!M21="",入力!M21&gt;12,入力!M21&lt;4)),AND(入力!L21=12,OR(入力!M21="",入力!M21&gt;12,入力!M21&lt;4))),"●",""),"")))</f>
        <v/>
      </c>
      <c r="AS14" s="111" t="str">
        <f>IF(入力!$F$21="","",IF(入力!$F$21&gt;=DATE(税率・条件!$C$1+2019,計算!AS$3+1,1),"",IF(入力!$F$21&gt;=DATE(税率・条件!$C$1+2019-75,計算!AS$3+1,1),IF(OR(AND(入力!L21="",OR(入力!M21="",入力!M21=2,入力!M21=3)),AND(入力!L21=4,OR(入力!M21="",入力!M21=2,入力!M21=3)),AND(入力!L21=5,OR(入力!M21="",入力!M21=2,入力!M21=3)),AND(入力!L21=6,OR(入力!M21="",入力!M21=2,入力!M21=3)),AND(入力!L21=7,OR(入力!M21="",入力!M21=2,入力!M21=3)),AND(入力!L21=8,OR(入力!M21="",入力!M21=2,入力!M21=3)),AND(入力!L21=9,OR(入力!M21="",入力!M21=2,入力!M21=3)),AND(入力!L21=10,OR(入力!M21="",入力!M21=2,入力!M21=3)),AND(入力!L21=11,OR(入力!M21="",入力!M21=2,入力!M21=3)),AND(入力!L21=12,OR(入力!M21="",入力!M21=2,入力!M21=3)),AND(入力!L21=1,OR(入力!M21="",入力!M21=2,入力!M21=3))),"●",""),"")))</f>
        <v/>
      </c>
      <c r="AT14" s="111" t="str">
        <f>IF(入力!$F$21="","",IF(入力!$F$21&gt;=DATE(税率・条件!$C$1+2019,計算!AT$3+1,1),"",IF(入力!$F$21&gt;=DATE(税率・条件!$C$1+2019-75,計算!AT$3+1,1),IF(OR(AND(入力!L21="",OR(入力!M21="",入力!M21=3)),AND(入力!L21=4,OR(入力!M21="",入力!M21=3)),AND(入力!L21=5,OR(入力!M21="",入力!M21=3)),AND(入力!L21=6,OR(入力!M21="",入力!M21=3)),AND(入力!L21=7,OR(入力!M21="",入力!M21=3)),AND(入力!L21=8,OR(入力!M21="",入力!M21=3)),AND(入力!L21=9,OR(入力!M21="",入力!M21=3)),AND(入力!L21=10,OR(入力!M21="",入力!M21=3)),AND(入力!L21=11,OR(入力!M21="",入力!M21=3)),AND(入力!L21=12,OR(入力!M21="",入力!M21=3)),AND(入力!L21=1,OR(入力!M21="",入力!M21=3)),AND(入力!L21=2,OR(入力!M21="",入力!M21=3))),"●",""),"")))</f>
        <v/>
      </c>
      <c r="AU14" s="112" t="str">
        <f>IF(入力!$F$21="","",IF(入力!$F$21&gt;=DATE(税率・条件!$C$1+2019,計算!AU$3+1,1),"",IF(入力!$F$21&gt;=DATE(税率・条件!$C$1+2019-75,計算!AU$3+1,1),IF(OR(AND(入力!L21="",入力!M21=""),AND(入力!L21=4,入力!M21=""),AND(入力!L21=5,入力!M21=""),AND(入力!L21=6,入力!M21=""),AND(入力!L21=7,入力!M21=""),AND(入力!L21=8,入力!M21=""),AND(入力!L21=9,入力!M21=""),AND(入力!L21=10,入力!M21=""),AND(入力!L21=11,入力!M21=""),AND(入力!L21=12,入力!M21=""),AND(入力!L21=1,入力!M21=""),AND(入力!L21=2,入力!M21=""),AND(入力!L21=3,入力!M21="")),"●",""),"")))</f>
        <v/>
      </c>
      <c r="AW14" s="94" t="str">
        <f>IF(AND(AJ$20=1,AJ14="●"),4,IF(AND(AK$20=1,AK14="●"),5,IF(AND(AL$20=1,AL14="●"),6,IF(AND(AM$20=1,AM14="●"),7,IF(AND(AN$20=1,AN14="●"),8,IF(AND(AO$20=1,AO14="●"),9,IF(AND(AP$20=1,AP14="●"),10,IF(AND(AQ$20=1,AQ14="●"),11,IF(AND(AR$20=1,AR14="●"),12,IF(AND(AS$20=1,AS14="●"),1,IF(AND(AT$20=1,AT14="●"),2,IF(AND(AU$20=1,AU14="●"),3,""))))))))))))</f>
        <v/>
      </c>
      <c r="AY14" s="178" t="s">
        <v>180</v>
      </c>
      <c r="AZ14" s="179">
        <f>ROUND(ROUNDDOWN((IF(AJ$5="",0,$P4)+IF(AJ$7="",0,$P6)+IF(AJ$9="",0,$P8)+IF(AJ$11="",0,$P10)+IF(AJ$13="",0,$P12)+IF(AJ$15="",0,$P14)+IF(AJ$17="",0,$P16)+IF(AJ$19="",0,$P18))*税率・条件!$C$14/100,0)/12,2)</f>
        <v>0</v>
      </c>
      <c r="BA14" s="179">
        <f>ROUND(ROUNDDOWN((IF(AK$5="",0,$P4)+IF(AK$7="",0,$P6)+IF(AK$9="",0,$P8)+IF(AK$11="",0,$P10)+IF(AK$13="",0,$P12)+IF(AK$15="",0,$P14)+IF(AK$17="",0,$P16)+IF(AK$19="",0,$P18))*税率・条件!$C$14/100,0)/12,2)</f>
        <v>0</v>
      </c>
      <c r="BB14" s="179">
        <f>ROUND(ROUNDDOWN((IF(AL$5="",0,$P4)+IF(AL$7="",0,$P6)+IF(AL$9="",0,$P8)+IF(AL$11="",0,$P10)+IF(AL$13="",0,$P12)+IF(AL$15="",0,$P14)+IF(AL$17="",0,$P16)+IF(AL$19="",0,$P18))*税率・条件!$C$14/100,0)/12,2)</f>
        <v>0</v>
      </c>
      <c r="BC14" s="179">
        <f>ROUND(ROUNDDOWN((IF(AM$5="",0,$P4)+IF(AM$7="",0,$P6)+IF(AM$9="",0,$P8)+IF(AM$11="",0,$P10)+IF(AM$13="",0,$P12)+IF(AM$15="",0,$P14)+IF(AM$17="",0,$P16)+IF(AM$19="",0,$P18))*税率・条件!$C$14/100,0)/12,2)</f>
        <v>0</v>
      </c>
      <c r="BD14" s="179">
        <f>ROUND(ROUNDDOWN((IF(AN$5="",0,$P4)+IF(AN$7="",0,$P6)+IF(AN$9="",0,$P8)+IF(AN$11="",0,$P10)+IF(AN$13="",0,$P12)+IF(AN$15="",0,$P14)+IF(AN$17="",0,$P16)+IF(AN$19="",0,$P18))*税率・条件!$C$14/100,0)/12,2)</f>
        <v>0</v>
      </c>
      <c r="BE14" s="179">
        <f>ROUND(ROUNDDOWN((IF(AO$5="",0,$P4)+IF(AO$7="",0,$P6)+IF(AO$9="",0,$P8)+IF(AO$11="",0,$P10)+IF(AO$13="",0,$P12)+IF(AO$15="",0,$P14)+IF(AO$17="",0,$P16)+IF(AO$19="",0,$P18))*税率・条件!$C$14/100,0)/12,2)</f>
        <v>0</v>
      </c>
      <c r="BF14" s="179">
        <f>ROUND(ROUNDDOWN((IF(AP$5="",0,$P4)+IF(AP$7="",0,$P6)+IF(AP$9="",0,$P8)+IF(AP$11="",0,$P10)+IF(AP$13="",0,$P12)+IF(AP$15="",0,$P14)+IF(AP$17="",0,$P16)+IF(AP$19="",0,$P18))*税率・条件!$C$14/100,0)/12,2)</f>
        <v>0</v>
      </c>
      <c r="BG14" s="179">
        <f>ROUND(ROUNDDOWN((IF(AQ$5="",0,$P4)+IF(AQ$7="",0,$P6)+IF(AQ$9="",0,$P8)+IF(AQ$11="",0,$P10)+IF(AQ$13="",0,$P12)+IF(AQ$15="",0,$P14)+IF(AQ$17="",0,$P16)+IF(AQ$19="",0,$P18))*税率・条件!$C$14/100,0)/12,2)</f>
        <v>0</v>
      </c>
      <c r="BH14" s="179">
        <f>ROUND(ROUNDDOWN((IF(AR$5="",0,$P4)+IF(AR$7="",0,$P6)+IF(AR$9="",0,$P8)+IF(AR$11="",0,$P10)+IF(AR$13="",0,$P12)+IF(AR$15="",0,$P14)+IF(AR$17="",0,$P16)+IF(AR$19="",0,$P18))*税率・条件!$C$14/100,0)/12,2)</f>
        <v>0</v>
      </c>
      <c r="BI14" s="179">
        <f>ROUND(ROUNDDOWN((IF(AS$5="",0,$P4)+IF(AS$7="",0,$P6)+IF(AS$9="",0,$P8)+IF(AS$11="",0,$P10)+IF(AS$13="",0,$P12)+IF(AS$15="",0,$P14)+IF(AS$17="",0,$P16)+IF(AS$19="",0,$P18))*税率・条件!$C$14/100,0)/12,2)</f>
        <v>0</v>
      </c>
      <c r="BJ14" s="179">
        <f>ROUND(ROUNDDOWN((IF(AT$5="",0,$P4)+IF(AT$7="",0,$P6)+IF(AT$9="",0,$P8)+IF(AT$11="",0,$P10)+IF(AT$13="",0,$P12)+IF(AT$15="",0,$P14)+IF(AT$17="",0,$P16)+IF(AT$19="",0,$P18))*税率・条件!$C$14/100,0)/12,2)</f>
        <v>0</v>
      </c>
      <c r="BK14" s="179">
        <f>ROUND(ROUNDDOWN((IF(AU$5="",0,$P4)+IF(AU$7="",0,$P6)+IF(AU$9="",0,$P8)+IF(AU$11="",0,$P10)+IF(AU$13="",0,$P12)+IF(AU$15="",0,$P14)+IF(AU$17="",0,$P16)+IF(AU$19="",0,$P18))*税率・条件!$C$14/100,0)/12,2)</f>
        <v>0</v>
      </c>
      <c r="BL14" s="191">
        <f t="shared" ref="BL14:BL17" si="22">SUM(AZ14:BK14)</f>
        <v>0</v>
      </c>
      <c r="BM14" s="182">
        <f>ROUNDDOWN(ROUND(BL14,1),0)</f>
        <v>0</v>
      </c>
    </row>
    <row r="15" spans="1:65" ht="18.95" customHeight="1" x14ac:dyDescent="0.15">
      <c r="A15" s="358"/>
      <c r="B15" s="355"/>
      <c r="C15" s="360"/>
      <c r="D15" s="311"/>
      <c r="E15" s="311"/>
      <c r="F15" s="311"/>
      <c r="G15" s="353"/>
      <c r="H15" s="349"/>
      <c r="I15" s="314"/>
      <c r="J15" s="311"/>
      <c r="K15" s="311"/>
      <c r="L15" s="349"/>
      <c r="M15" s="347"/>
      <c r="N15" s="314"/>
      <c r="O15" s="311"/>
      <c r="P15" s="338"/>
      <c r="Q15" s="340"/>
      <c r="R15" s="342"/>
      <c r="S15" s="308"/>
      <c r="T15" s="334"/>
      <c r="U15" s="311"/>
      <c r="V15" s="311"/>
      <c r="W15" s="328"/>
      <c r="X15" s="316"/>
      <c r="Y15" s="314"/>
      <c r="Z15" s="311"/>
      <c r="AA15" s="311"/>
      <c r="AB15" s="328"/>
      <c r="AC15" s="316"/>
      <c r="AD15" s="314"/>
      <c r="AE15" s="311"/>
      <c r="AF15" s="311"/>
      <c r="AG15" s="328"/>
      <c r="AH15" s="316"/>
      <c r="AI15" s="108" t="str">
        <f>IF(入力!$F$21="","",COUNTIF(AJ15:AU15,"■"))</f>
        <v/>
      </c>
      <c r="AJ15" s="109" t="str">
        <f>IF(入力!$F$21="","",IF(AND(入力!$F$21&gt;DATE(税率・条件!$C$1+2018-65,計算!AJ$3+1,1),入力!$F$21&lt;=DATE(税率・条件!$C$1+2018-40,計算!AJ$3+1,1)),IF(OR(AND(入力!L21="",OR(入力!M21="",入力!M21&gt;4,入力!M21&lt;4)),AND(入力!L21=4,OR(入力!M21="",入力!M21&gt;4,入力!M21&lt;4))),"■",""),""))</f>
        <v/>
      </c>
      <c r="AK15" s="109" t="str">
        <f>IF(入力!$F$21="","",IF(AND(入力!$F$21&gt;DATE(税率・条件!$C$1+2018-65,計算!AK$3+1,1),入力!$F$21&lt;=DATE(税率・条件!$C$1+2018-40,計算!AK$3+1,1)),IF(OR(AND(入力!L21="",OR(入力!M21="",入力!M21&gt;5,入力!M21&lt;4)),AND(入力!L21=4,OR(入力!M21="",入力!M21&gt;5,入力!M21&lt;4)),AND(入力!L21=5,OR(入力!M21="",入力!M21&gt;5,入力!M21&lt;4))),"■",""),""))</f>
        <v/>
      </c>
      <c r="AL15" s="109" t="str">
        <f>IF(入力!$F$21="","",IF(AND(入力!$F$21&gt;DATE(税率・条件!$C$1+2018-65,計算!AL$3+1,1),入力!$F$21&lt;=DATE(税率・条件!$C$1+2018-40,計算!AL$3+1,1)),IF(OR(AND(入力!L21="",OR(入力!M21="",入力!M21&gt;6,入力!M21&lt;4)),AND(入力!L21=4,OR(入力!M21="",入力!M21&gt;6,入力!M21&lt;4)),AND(入力!L21=5,OR(入力!M21="",入力!M21&gt;6,入力!M21&lt;4)),AND(入力!L21=6,OR(入力!M21="",入力!M21&gt;6,入力!M21&lt;4))),"■",""),""))</f>
        <v/>
      </c>
      <c r="AM15" s="109" t="str">
        <f>IF(入力!$F$21="","",IF(AND(入力!$F$21&gt;DATE(税率・条件!$C$1+2018-65,計算!AM$3+1,1),入力!$F$21&lt;=DATE(税率・条件!$C$1+2018-40,計算!AM$3+1,1)),IF(OR(AND(入力!L21="",OR(入力!M21="",入力!M21&gt;7,入力!M21&lt;4)),AND(入力!L21=4,OR(入力!M21="",入力!M21&gt;7,入力!M21&lt;4)),AND(入力!L21=5,OR(入力!M21="",入力!M21&gt;7,入力!M21&lt;4)),AND(入力!L21=6,OR(入力!M21="",入力!M21&gt;7,入力!M21&lt;4)),AND(入力!L21=7,OR(入力!M21="",入力!M21&gt;7,入力!M21&lt;4))),"■",""),""))</f>
        <v/>
      </c>
      <c r="AN15" s="109" t="str">
        <f>IF(入力!$F$21="","",IF(AND(入力!$F$21&gt;DATE(税率・条件!$C$1+2018-65,計算!AN$3+1,1),入力!$F$21&lt;=DATE(税率・条件!$C$1+2018-40,計算!AN$3+1,1)),IF(OR(AND(入力!L21="",OR(入力!M21="",入力!M21&gt;8,入力!M21&lt;4)),AND(入力!L21=4,OR(入力!M21="",入力!M21&gt;8,入力!M21&lt;4)),AND(入力!L21=5,OR(入力!M21="",入力!M21&gt;8,入力!M21&lt;4)),AND(入力!L21=6,OR(入力!M21="",入力!M21&gt;8,入力!M21&lt;4)),AND(入力!L21=7,OR(入力!M21="",入力!M21&gt;8,入力!M21&lt;4)),AND(入力!L21=8,OR(入力!M21="",入力!M21&gt;8,入力!M21&lt;4))),"■",""),""))</f>
        <v/>
      </c>
      <c r="AO15" s="109" t="str">
        <f>IF(入力!$F$21="","",IF(AND(入力!$F$21&gt;DATE(税率・条件!$C$1+2018-65,計算!AO$3+1,1),入力!$F$21&lt;=DATE(税率・条件!$C$1+2018-40,計算!AO$3+1,1)),IF(OR(AND(入力!L21="",OR(入力!M21="",入力!M21&gt;9,入力!M21&lt;4)),AND(入力!L21=4,OR(入力!M21="",入力!M21&gt;9,入力!M21&lt;4)),AND(入力!L21=5,OR(入力!M21="",入力!M21&gt;9,入力!M21&lt;4)),AND(入力!L21=6,OR(入力!M21="",入力!M21&gt;9,入力!M21&lt;4)),AND(入力!L21=7,OR(入力!M21="",入力!M21&gt;9,入力!M21&lt;4)),AND(入力!L21=8,OR(入力!M21="",入力!M21&gt;9,入力!M21&lt;4)),AND(入力!L21=9,OR(入力!M21="",入力!M21&gt;9,入力!M21&lt;4))),"■",""),""))</f>
        <v/>
      </c>
      <c r="AP15" s="109" t="str">
        <f>IF(入力!$F$21="","",IF(AND(入力!$F$21&gt;DATE(税率・条件!$C$1+2018-65,計算!AP$3+1,1),入力!$F$21&lt;=DATE(税率・条件!$C$1+2018-40,計算!AP$3+1,1)),IF(OR(AND(入力!L21="",OR(入力!M21="",入力!M21&gt;10,入力!M21&lt;4)),AND(入力!L21=4,OR(入力!M21="",入力!M21&gt;10,入力!M21&lt;4)),AND(入力!L21=5,OR(入力!M21="",入力!M21&gt;10,入力!M21&lt;4)),AND(入力!L21=6,OR(入力!M21="",入力!M21&gt;10,入力!M21&lt;4)),AND(入力!L21=7,OR(入力!M21="",入力!M21&gt;10,入力!M21&lt;4)),AND(入力!L21=8,OR(入力!M21="",入力!M21&gt;10,入力!M21&lt;4)),AND(入力!L21=9,OR(入力!M21="",入力!M21&gt;10,入力!M21&lt;4)),AND(入力!L21=10,OR(入力!M21="",入力!M21&gt;10,入力!M21&lt;4))),"■",""),""))</f>
        <v/>
      </c>
      <c r="AQ15" s="109" t="str">
        <f>IF(入力!$F$21="","",IF(AND(入力!$F$21&gt;DATE(税率・条件!$C$1+2018-65,計算!AQ$3+1,1),入力!$F$21&lt;=DATE(税率・条件!$C$1+2018-40,計算!AQ$3+1,1)),IF(OR(AND(入力!L21="",OR(入力!M21="",入力!M21&gt;11,入力!M21&lt;4)),AND(入力!L21=4,OR(入力!M21="",入力!M21&gt;11,入力!M21&lt;4)),AND(入力!L21=5,OR(入力!M21="",入力!M21&gt;11,入力!M21&lt;4)),AND(入力!L21=6,OR(入力!M21="",入力!M21&gt;11,入力!M21&lt;4)),AND(入力!L21=7,OR(入力!M21="",入力!M21&gt;11,入力!M21&lt;4)),AND(入力!L21=8,OR(入力!M21="",入力!M21&gt;11,入力!M21&lt;4)),AND(入力!L21=9,OR(入力!M21="",入力!M21&gt;11,入力!M21&lt;4)),AND(入力!L21=10,OR(入力!M21="",入力!M21&gt;11,入力!M21&lt;4)),AND(入力!L21=11,OR(入力!M21="",入力!M21&gt;11,入力!M21&lt;4))),"■",""),""))</f>
        <v/>
      </c>
      <c r="AR15" s="109" t="str">
        <f>IF(入力!$F$21="","",IF(AND(入力!$F$21&gt;DATE(税率・条件!$C$1+2018-65,計算!AR$3+1,1),入力!$F$21&lt;=DATE(税率・条件!$C$1+2018-40,計算!AR$3+1,1)),IF(OR(AND(入力!L21="",OR(入力!M21="",入力!M21&gt;12,入力!M21&lt;4)),AND(入力!L21=4,OR(入力!M21="",入力!M21&gt;12,入力!M21&lt;4)),AND(入力!L21=5,OR(入力!M21="",入力!M21&gt;12,入力!M21&lt;4)),AND(入力!L21=6,OR(入力!M21="",入力!M21&gt;12,入力!M21&lt;4)),AND(入力!L21=7,OR(入力!M21="",入力!M21&gt;12,入力!M21&lt;4)),AND(入力!L21=8,OR(入力!M21="",入力!M21&gt;12,入力!M21&lt;4)),AND(入力!L21=9,OR(入力!M21="",入力!M21&gt;12,入力!M21&lt;4)),AND(入力!L21=10,OR(入力!M21="",入力!M21&gt;12,入力!M21&lt;4)),AND(入力!L21=11,OR(入力!M21="",入力!M21&gt;12,入力!M21&lt;4)),AND(入力!L21=12,OR(入力!M21="",入力!M21&gt;12,入力!M21&lt;4))),"■",""),""))</f>
        <v/>
      </c>
      <c r="AS15" s="109" t="str">
        <f>IF(入力!$F$21="","",IF(AND(入力!$F$21&gt;DATE(税率・条件!$C$1+2019-65,計算!AS$3+1,1),入力!$F$21&lt;=DATE(税率・条件!$C$1+2019-40,計算!AS$3+1,1)),IF(OR(AND(入力!L21="",OR(入力!M21="",入力!M21=2,入力!M21=3)),AND(入力!L21=4,OR(入力!M21="",入力!M21=2,入力!M21=3)),AND(入力!L21=5,OR(入力!M21="",入力!M21=2,入力!M21=3)),AND(入力!L21=6,OR(入力!M21="",入力!M21=2,入力!M21=3)),AND(入力!L21=7,OR(入力!M21="",入力!M21=2,入力!M21=3)),AND(入力!L21=8,OR(入力!M21="",入力!M21=2,入力!M21=3)),AND(入力!L21=9,OR(入力!M21="",入力!M21=2,入力!M21=3)),AND(入力!L21=10,OR(入力!M21="",入力!M21=2,入力!M21=3)),AND(入力!L21=11,OR(入力!M21="",入力!M21=2,入力!M21=3)),AND(入力!L21=12,OR(入力!M21="",入力!M21=2,入力!M21=3)),AND(入力!L21=1,OR(入力!M21="",入力!M21=2,入力!M21=3))),"■",""),""))</f>
        <v/>
      </c>
      <c r="AT15" s="109" t="str">
        <f>IF(入力!$F$21="","",IF(AND(入力!$F$21&gt;DATE(税率・条件!$C$1+2019-65,計算!AT$3+1,1),入力!$F$21&lt;=DATE(税率・条件!$C$1+2019-40,計算!AT$3+1,1)),IF(OR(AND(入力!L21="",OR(入力!M21="",入力!M21=3)),AND(入力!L21=4,OR(入力!M21="",入力!M21=3)),AND(入力!L21=5,OR(入力!M21="",入力!M21=3)),AND(入力!L21=6,OR(入力!M21="",入力!M21=3)),AND(入力!L21=7,OR(入力!M21="",入力!M21=3)),AND(入力!L21=8,OR(入力!M21="",入力!M21=3)),AND(入力!L21=9,OR(入力!M21="",入力!M21=3)),AND(入力!L21=10,OR(入力!M21="",入力!M21=3)),AND(入力!L21=11,OR(入力!M21="",入力!M21=3)),AND(入力!L21=12,OR(入力!M21="",入力!M21=3)),AND(入力!L21=1,OR(入力!M21="",入力!M21=3)),AND(入力!L21=2,OR(入力!M21="",入力!M21=3))),"■",""),""))</f>
        <v/>
      </c>
      <c r="AU15" s="110" t="str">
        <f>IF(入力!$F$21="","",IF(AND(入力!$F$21&gt;DATE(税率・条件!$C$1+2019-65,計算!AU$3+1,1),入力!$F$21&lt;=DATE(税率・条件!$C$1+2019-40,計算!AU$3+1,1)),IF(OR(AND(入力!L21="",入力!M21=""),AND(入力!L21=4,入力!M21=""),AND(入力!L21=5,入力!M21=""),AND(入力!L21=6,入力!M21=""),AND(入力!L21=7,入力!M21=""),AND(入力!L21=8,入力!M21=""),AND(入力!L21=9,入力!M21=""),AND(入力!L21=10,入力!M21=""),AND(入力!L21=11,入力!M21=""),AND(入力!L21=12,入力!M21=""),AND(入力!L21=1,入力!M21=""),AND(入力!L21=2,入力!M21=""),AND(入力!L21=3,入力!M21="")),"■",""),""))</f>
        <v/>
      </c>
      <c r="AY15" s="180" t="s">
        <v>181</v>
      </c>
      <c r="AZ15" s="188">
        <f>ROUND(ROUNDDOWN((IF(AJ$5="",0,入力!$J$16)+IF(AJ$7="",0,入力!$J$17)+IF(AJ$9="",0,入力!$J$18)+IF(AJ$11="",0,入力!$J$19)+IF(AJ$13="",0,入力!$J$20)+IF(AJ$15="",0,入力!$J$21)+IF(AJ$17="",0,入力!$J$22)+IF(AJ$19="",0,入力!$J$23))*税率・条件!$C$15/100,0)/12,2)</f>
        <v>0</v>
      </c>
      <c r="BA15" s="188">
        <f>ROUND(ROUNDDOWN((IF(AK$5="",0,入力!$J$16)+IF(AK$7="",0,入力!$J$17)+IF(AK$9="",0,入力!$J$18)+IF(AK$11="",0,入力!$J$19)+IF(AK$13="",0,入力!$J$20)+IF(AK$15="",0,入力!$J$21)+IF(AK$17="",0,入力!$J$22)+IF(AK$19="",0,入力!$J$23))*税率・条件!$C$15/100,0)/12,2)</f>
        <v>0</v>
      </c>
      <c r="BB15" s="188">
        <f>ROUND(ROUNDDOWN((IF(AL$5="",0,入力!$J$16)+IF(AL$7="",0,入力!$J$17)+IF(AL$9="",0,入力!$J$18)+IF(AL$11="",0,入力!$J$19)+IF(AL$13="",0,入力!$J$20)+IF(AL$15="",0,入力!$J$21)+IF(AL$17="",0,入力!$J$22)+IF(AL$19="",0,入力!$J$23))*税率・条件!$C$15/100,0)/12,2)</f>
        <v>0</v>
      </c>
      <c r="BC15" s="188">
        <f>ROUND(ROUNDDOWN((IF(AM$5="",0,入力!$J$16)+IF(AM$7="",0,入力!$J$17)+IF(AM$9="",0,入力!$J$18)+IF(AM$11="",0,入力!$J$19)+IF(AM$13="",0,入力!$J$20)+IF(AM$15="",0,入力!$J$21)+IF(AM$17="",0,入力!$J$22)+IF(AM$19="",0,入力!$J$23))*税率・条件!$C$15/100,0)/12,2)</f>
        <v>0</v>
      </c>
      <c r="BD15" s="188">
        <f>ROUND(ROUNDDOWN((IF(AN$5="",0,入力!$J$16)+IF(AN$7="",0,入力!$J$17)+IF(AN$9="",0,入力!$J$18)+IF(AN$11="",0,入力!$J$19)+IF(AN$13="",0,入力!$J$20)+IF(AN$15="",0,入力!$J$21)+IF(AN$17="",0,入力!$J$22)+IF(AN$19="",0,入力!$J$23))*税率・条件!$C$15/100,0)/12,2)</f>
        <v>0</v>
      </c>
      <c r="BE15" s="188">
        <f>ROUND(ROUNDDOWN((IF(AO$5="",0,入力!$J$16)+IF(AO$7="",0,入力!$J$17)+IF(AO$9="",0,入力!$J$18)+IF(AO$11="",0,入力!$J$19)+IF(AO$13="",0,入力!$J$20)+IF(AO$15="",0,入力!$J$21)+IF(AO$17="",0,入力!$J$22)+IF(AO$19="",0,入力!$J$23))*税率・条件!$C$15/100,0)/12,2)</f>
        <v>0</v>
      </c>
      <c r="BF15" s="188">
        <f>ROUND(ROUNDDOWN((IF(AP$5="",0,入力!$J$16)+IF(AP$7="",0,入力!$J$17)+IF(AP$9="",0,入力!$J$18)+IF(AP$11="",0,入力!$J$19)+IF(AP$13="",0,入力!$J$20)+IF(AP$15="",0,入力!$J$21)+IF(AP$17="",0,入力!$J$22)+IF(AP$19="",0,入力!$J$23))*税率・条件!$C$15/100,0)/12,2)</f>
        <v>0</v>
      </c>
      <c r="BG15" s="188">
        <f>ROUND(ROUNDDOWN((IF(AQ$5="",0,入力!$J$16)+IF(AQ$7="",0,入力!$J$17)+IF(AQ$9="",0,入力!$J$18)+IF(AQ$11="",0,入力!$J$19)+IF(AQ$13="",0,入力!$J$20)+IF(AQ$15="",0,入力!$J$21)+IF(AQ$17="",0,入力!$J$22)+IF(AQ$19="",0,入力!$J$23))*税率・条件!$C$15/100,0)/12,2)</f>
        <v>0</v>
      </c>
      <c r="BH15" s="188">
        <f>ROUND(ROUNDDOWN((IF(AR$5="",0,入力!$J$16)+IF(AR$7="",0,入力!$J$17)+IF(AR$9="",0,入力!$J$18)+IF(AR$11="",0,入力!$J$19)+IF(AR$13="",0,入力!$J$20)+IF(AR$15="",0,入力!$J$21)+IF(AR$17="",0,入力!$J$22)+IF(AR$19="",0,入力!$J$23))*税率・条件!$C$15/100,0)/12,2)</f>
        <v>0</v>
      </c>
      <c r="BI15" s="188">
        <f>ROUND(ROUNDDOWN((IF(AS$5="",0,入力!$J$16)+IF(AS$7="",0,入力!$J$17)+IF(AS$9="",0,入力!$J$18)+IF(AS$11="",0,入力!$J$19)+IF(AS$13="",0,入力!$J$20)+IF(AS$15="",0,入力!$J$21)+IF(AS$17="",0,入力!$J$22)+IF(AS$19="",0,入力!$J$23))*税率・条件!$C$15/100,0)/12,2)</f>
        <v>0</v>
      </c>
      <c r="BJ15" s="188">
        <f>ROUND(ROUNDDOWN((IF(AT$5="",0,入力!$J$16)+IF(AT$7="",0,入力!$J$17)+IF(AT$9="",0,入力!$J$18)+IF(AT$11="",0,入力!$J$19)+IF(AT$13="",0,入力!$J$20)+IF(AT$15="",0,入力!$J$21)+IF(AT$17="",0,入力!$J$22)+IF(AT$19="",0,入力!$J$23))*税率・条件!$C$15/100,0)/12,2)</f>
        <v>0</v>
      </c>
      <c r="BK15" s="188">
        <f>ROUND(ROUNDDOWN((IF(AU$5="",0,入力!$J$16)+IF(AU$7="",0,入力!$J$17)+IF(AU$9="",0,入力!$J$18)+IF(AU$11="",0,入力!$J$19)+IF(AU$13="",0,入力!$J$20)+IF(AU$15="",0,入力!$J$21)+IF(AU$17="",0,入力!$J$22)+IF(AU$19="",0,入力!$J$23))*税率・条件!$C$15/100,0)/12,2)</f>
        <v>0</v>
      </c>
      <c r="BL15" s="192">
        <f t="shared" si="22"/>
        <v>0</v>
      </c>
      <c r="BM15" s="184">
        <f>ROUNDDOWN(ROUND(BL15,1),0)</f>
        <v>0</v>
      </c>
    </row>
    <row r="16" spans="1:65" ht="18.95" customHeight="1" x14ac:dyDescent="0.15">
      <c r="A16" s="357" t="str">
        <f>入力!E22</f>
        <v>７</v>
      </c>
      <c r="B16" s="354" t="str">
        <f>IF(入力!F22="","",IF(入力!F22&lt;=DATE(税率・条件!C1+1953,1,1),"65歳以上",IF(入力!F22&gt;DATE(税率・条件!C1+2012,4,1),"未就学","一般")))</f>
        <v/>
      </c>
      <c r="C16" s="359" t="str">
        <f>IF(D16="","",IF(入力!K22="該 当","該当","非該当"))</f>
        <v/>
      </c>
      <c r="D16" s="336" t="str">
        <f>IF(入力!G22="","",ROUNDDOWN(VLOOKUP(入力!G22,$B$24:$J$35,8,1)*IF(入力!K22="該 当",0.3,1),0))</f>
        <v/>
      </c>
      <c r="E16" s="336" t="str">
        <f>IF(D16="","",IF(OR(D16="",K16=""),0,IF(D16+K16&lt;100000,0,IF(D16&lt;100000,D16,100000)+IF(K16&lt;100000,K16,100000)-100000)))</f>
        <v/>
      </c>
      <c r="F16" s="336" t="str">
        <f>IF(D16="","",D16-E16)</f>
        <v/>
      </c>
      <c r="G16" s="350" t="str">
        <f>IF(D16="","",IF(OR(D16="",L16=""),0,IF(D16+L16&lt;100000,0,IF(D16&lt;100000,D16,100000)+IF(L16&lt;100000,L16,100000)-100000)))</f>
        <v/>
      </c>
      <c r="H16" s="348" t="str">
        <f>IF(D16="","",D16-G16)</f>
        <v/>
      </c>
      <c r="I16" s="335" t="str">
        <f>IF(入力!H22="","",IF(B16="65歳以上",VLOOKUP(入力!H22,$B$48:$D$52,2,1),VLOOKUP(入力!H22,$B$40:$D$44,2,1)))</f>
        <v/>
      </c>
      <c r="J16" s="336" t="str">
        <f>IF(I16="","",IF(B16="65歳以上",VLOOKUP(入力!H22,$B$48:$D$52,3,1),VLOOKUP(入力!H22,$B$40:$D$44,3,1)))</f>
        <v/>
      </c>
      <c r="K16" s="336" t="str">
        <f>IF(I16="","",IF(入力!H22*計算!I16/100-計算!J16&lt;0,0,ROUNDDOWN(入力!H22*計算!I16/100-計算!J16,0)))</f>
        <v/>
      </c>
      <c r="L16" s="348" t="str">
        <f>IF(K16="","",IF(B16="65歳以上",IF(K16&lt;税率・条件!$G$9,0,K16-税率・条件!$G$9),K16))</f>
        <v/>
      </c>
      <c r="M16" s="346" t="str">
        <f>IF(入力!I22="","",入力!I22)</f>
        <v/>
      </c>
      <c r="N16" s="335" t="str">
        <f>IF(入力!F22="","",SUM(F16,K16,M16))</f>
        <v/>
      </c>
      <c r="O16" s="336" t="str">
        <f>IF(入力!P22&lt;&gt;"",IF(計算!N16-430000&gt;0,計算!N16-430000,0),"")</f>
        <v/>
      </c>
      <c r="P16" s="337" t="str">
        <f>IF(入力!Q22&lt;&gt;"",IF(計算!N16-430000&gt;0,計算!N16-430000,0),"")</f>
        <v/>
      </c>
      <c r="Q16" s="339" t="str">
        <f>IF(N16="","",IF(AW16&lt;&gt;AW20,"",SUM(H16,L16,M16)))</f>
        <v/>
      </c>
      <c r="R16" s="341" t="str">
        <f>IF(AND(D16="",K16=""),"",IF(AW16&lt;&gt;AW20,"",IF(OR(入力!G22&gt;550000,AND(B16="65歳以上",入力!H22&gt;1250000),AND(B16&lt;&gt;"65歳以上",入力!H22&gt;600000)),1,"")))</f>
        <v/>
      </c>
      <c r="S16" s="307" t="str">
        <f>IF(N16="","",IF(AND(入力!$H$25&lt;&gt;"",入力!$C$19="全員申告済み",$AW$16=$AW$20),"該当",""))</f>
        <v/>
      </c>
      <c r="T16" s="332" t="str">
        <f>IF($O16="","",ROUNDDOWN($O16*税率・条件!$C$4/100,0))</f>
        <v/>
      </c>
      <c r="U16" s="310" t="str">
        <f>IF(入力!$P22="","",ROUNDDOWN(入力!$J22*税率・条件!$C$5/100,0))</f>
        <v/>
      </c>
      <c r="V16" s="310" t="str">
        <f>IF(入力!$P22="","",ROUNDDOWN(税率・条件!$C$6*(100%-IF(B16="未就学",税率・条件!$H$11,0%))*(100%-$M$34),0))</f>
        <v/>
      </c>
      <c r="W16" s="325"/>
      <c r="X16" s="315" t="str">
        <f t="shared" si="2"/>
        <v/>
      </c>
      <c r="Y16" s="313" t="str">
        <f>IF($O16="","",ROUNDDOWN($O16*税率・条件!$C$9/100,0))</f>
        <v/>
      </c>
      <c r="Z16" s="310" t="str">
        <f>IF(入力!$P22="","",ROUNDDOWN(入力!$J22*税率・条件!$C$10/100,0))</f>
        <v/>
      </c>
      <c r="AA16" s="310" t="str">
        <f>IF(入力!$P22="","",ROUNDDOWN(税率・条件!$C$11*(100%-IF(B16="未就学",税率・条件!$H$11,0%))*(100%-$M$34),0))</f>
        <v/>
      </c>
      <c r="AB16" s="325"/>
      <c r="AC16" s="315" t="str">
        <f t="shared" si="6"/>
        <v/>
      </c>
      <c r="AD16" s="313" t="str">
        <f>IF($P16="","",ROUNDDOWN($P16*税率・条件!$C$14/100,0))</f>
        <v/>
      </c>
      <c r="AE16" s="310" t="str">
        <f>IF(入力!$Q22="","",ROUNDDOWN(入力!$J22*税率・条件!$C$15/100,0))</f>
        <v/>
      </c>
      <c r="AF16" s="310" t="str">
        <f>IF(入力!$Q22="","",ROUNDDOWN(税率・条件!$C$16*(100%-$M$34),0))</f>
        <v/>
      </c>
      <c r="AG16" s="325"/>
      <c r="AH16" s="315" t="str">
        <f t="shared" si="3"/>
        <v/>
      </c>
      <c r="AI16" s="107" t="str">
        <f>IF(入力!$F$22="","",COUNTIF(AJ16:AU16,"●"))</f>
        <v/>
      </c>
      <c r="AJ16" s="111" t="str">
        <f>IF(入力!$F$22="","",IF(入力!$F$22&gt;=DATE(税率・条件!$C$1+2018,計算!AJ$3+1,1),"",IF(入力!$F$22&gt;=DATE(税率・条件!$C$1+2018-75,計算!AJ$3+1,1),IF(OR(AND(入力!L22="",OR(入力!M22="",入力!M22&gt;4,入力!M22&lt;4)),AND(入力!L22=4,OR(入力!M22="",入力!M22&gt;4,入力!M22&lt;4))),"●",""),"")))</f>
        <v/>
      </c>
      <c r="AK16" s="111" t="str">
        <f>IF(入力!$F$22="","",IF(入力!$F$22&gt;=DATE(税率・条件!$C$1+2018,計算!AK$3+1,1),"",IF(入力!$F$22&gt;=DATE(税率・条件!$C$1+2018-75,計算!AK$3+1,1),IF(OR(AND(入力!L22="",OR(入力!M22="",入力!M22&gt;5,入力!M22&lt;4)),AND(入力!L22=4,OR(入力!M22="",入力!M22&gt;5,入力!M22&lt;4)),AND(入力!L22=5,OR(入力!M22="",入力!M22&gt;5,入力!M22&lt;4))),"●",""),"")))</f>
        <v/>
      </c>
      <c r="AL16" s="111" t="str">
        <f>IF(入力!$F$22="","",IF(入力!$F$22&gt;=DATE(税率・条件!$C$1+2018,計算!AL$3+1,1),"",IF(入力!$F$22&gt;=DATE(税率・条件!$C$1+2018-75,計算!AL$3+1,1),IF(OR(AND(入力!L22="",OR(入力!M22="",入力!M22&gt;6,入力!M22&lt;4)),AND(入力!L22=4,OR(入力!M22="",入力!M22&gt;6,入力!M22&lt;4)),AND(入力!L22=5,OR(入力!M22="",入力!M22&gt;6,入力!M22&lt;4)),AND(入力!L22=6,OR(入力!M22="",入力!M22&gt;6,入力!M22&lt;4))),"●",""),"")))</f>
        <v/>
      </c>
      <c r="AM16" s="111" t="str">
        <f>IF(入力!$F$22="","",IF(入力!$F$22&gt;=DATE(税率・条件!$C$1+2018,計算!AM$3+1,1),"",IF(入力!$F$22&gt;=DATE(税率・条件!$C$1+2018-75,計算!AM$3+1,1),IF(OR(AND(入力!L22="",OR(入力!M22="",入力!M22&gt;7,入力!M22&lt;4)),AND(入力!L22=4,OR(入力!M22="",入力!M22&gt;7,入力!M22&lt;4)),AND(入力!L22=5,OR(入力!M22="",入力!M22&gt;7,入力!M22&lt;4)),AND(入力!L22=6,OR(入力!M22="",入力!M22&gt;7,入力!M22&lt;4)),AND(入力!L22=7,OR(入力!M22="",入力!M22&gt;7,入力!M22&lt;4))),"●",""),"")))</f>
        <v/>
      </c>
      <c r="AN16" s="111" t="str">
        <f>IF(入力!$F$22="","",IF(入力!$F$22&gt;=DATE(税率・条件!$C$1+2018,計算!AN$3+1,1),"",IF(入力!$F$22&gt;=DATE(税率・条件!$C$1+2018-75,計算!AN$3+1,1),IF(OR(AND(入力!L22="",OR(入力!M22="",入力!M22&gt;8,入力!M22&lt;4)),AND(入力!L22=4,OR(入力!M22="",入力!M22&gt;8,入力!M22&lt;4)),AND(入力!L22=5,OR(入力!M22="",入力!M22&gt;8,入力!M22&lt;4)),AND(入力!L22=6,OR(入力!M22="",入力!M22&gt;8,入力!M22&lt;4)),AND(入力!L22=7,OR(入力!M22="",入力!M22&gt;8,入力!M22&lt;4)),AND(入力!L22=8,OR(入力!M22="",入力!M22&gt;8,入力!M22&lt;4))),"●",""),"")))</f>
        <v/>
      </c>
      <c r="AO16" s="111" t="str">
        <f>IF(入力!$F$22="","",IF(入力!$F$22&gt;=DATE(税率・条件!$C$1+2018,計算!AO$3+1,1),"",IF(入力!$F$22&gt;=DATE(税率・条件!$C$1+2018-75,計算!AO$3+1,1),IF(OR(AND(入力!L22="",OR(入力!M22="",入力!M22&gt;9,入力!M22&lt;4)),AND(入力!L22=4,OR(入力!M22="",入力!M22&gt;9,入力!M22&lt;4)),AND(入力!L22=5,OR(入力!M22="",入力!M22&gt;9,入力!M22&lt;4)),AND(入力!L22=6,OR(入力!M22="",入力!M22&gt;9,入力!M22&lt;4)),AND(入力!L22=7,OR(入力!M22="",入力!M22&gt;9,入力!M22&lt;4)),AND(入力!L22=8,OR(入力!M22="",入力!M22&gt;9,入力!M22&lt;4)),AND(入力!L22=9,OR(入力!M22="",入力!M22&gt;9,入力!M22&lt;4))),"●",""),"")))</f>
        <v/>
      </c>
      <c r="AP16" s="111" t="str">
        <f>IF(入力!$F$22="","",IF(入力!$F$22&gt;=DATE(税率・条件!$C$1+2018,計算!AP$3+1,1),"",IF(入力!$F$22&gt;=DATE(税率・条件!$C$1+2018-75,計算!AP$3+1,1),IF(OR(AND(入力!L22="",OR(入力!M22="",入力!M22&gt;10,入力!M22&lt;4)),AND(入力!L22=4,OR(入力!M22="",入力!M22&gt;10,入力!M22&lt;4)),AND(入力!L22=5,OR(入力!M22="",入力!M22&gt;10,入力!M22&lt;4)),AND(入力!L22=6,OR(入力!M22="",入力!M22&gt;10,入力!M22&lt;4)),AND(入力!L22=7,OR(入力!M22="",入力!M22&gt;10,入力!M22&lt;4)),AND(入力!L22=8,OR(入力!M22="",入力!M22&gt;10,入力!M22&lt;4)),AND(入力!L22=9,OR(入力!M22="",入力!M22&gt;10,入力!M22&lt;4)),AND(入力!L22=10,OR(入力!M22="",入力!M22&gt;10,入力!M22&lt;4))),"●",""),"")))</f>
        <v/>
      </c>
      <c r="AQ16" s="111" t="str">
        <f>IF(入力!$F$22="","",IF(入力!$F$22&gt;=DATE(税率・条件!$C$1+2018,計算!AQ$3+1,1),"",IF(入力!$F$22&gt;=DATE(税率・条件!$C$1+2018-75,計算!AQ$3+1,1),IF(OR(AND(入力!L22="",OR(入力!M22="",入力!M22&gt;11,入力!M22&lt;4)),AND(入力!L22=4,OR(入力!M22="",入力!M22&gt;11,入力!M22&lt;4)),AND(入力!L22=5,OR(入力!M22="",入力!M22&gt;11,入力!M22&lt;4)),AND(入力!L22=6,OR(入力!M22="",入力!M22&gt;11,入力!M22&lt;4)),AND(入力!L22=7,OR(入力!M22="",入力!M22&gt;11,入力!M22&lt;4)),AND(入力!L22=8,OR(入力!M22="",入力!M22&gt;11,入力!M22&lt;4)),AND(入力!L22=9,OR(入力!M22="",入力!M22&gt;11,入力!M22&lt;4)),AND(入力!L22=10,OR(入力!M22="",入力!M22&gt;11,入力!M22&lt;4)),AND(入力!L22=11,OR(入力!M22="",入力!M22&gt;11,入力!M22&lt;4))),"●",""),"")))</f>
        <v/>
      </c>
      <c r="AR16" s="111" t="str">
        <f>IF(入力!$F$22="","",IF(入力!$F$22&gt;=DATE(税率・条件!$C$1+2018,計算!AR$3+1,1),"",IF(入力!$F$22&gt;=DATE(税率・条件!$C$1+2018-75,計算!AR$3+1,1),IF(OR(AND(入力!L22="",OR(入力!M22="",入力!M22&gt;12,入力!M22&lt;4)),AND(入力!L22=4,OR(入力!M22="",入力!M22&gt;12,入力!M22&lt;4)),AND(入力!L22=5,OR(入力!M22="",入力!M22&gt;12,入力!M22&lt;4)),AND(入力!L22=6,OR(入力!M22="",入力!M22&gt;12,入力!M22&lt;4)),AND(入力!L22=7,OR(入力!M22="",入力!M22&gt;12,入力!M22&lt;4)),AND(入力!L22=8,OR(入力!M22="",入力!M22&gt;12,入力!M22&lt;4)),AND(入力!L22=9,OR(入力!M22="",入力!M22&gt;12,入力!M22&lt;4)),AND(入力!L22=10,OR(入力!M22="",入力!M22&gt;12,入力!M22&lt;4)),AND(入力!L22=11,OR(入力!M22="",入力!M22&gt;12,入力!M22&lt;4)),AND(入力!L22=12,OR(入力!M22="",入力!M22&gt;12,入力!M22&lt;4))),"●",""),"")))</f>
        <v/>
      </c>
      <c r="AS16" s="111" t="str">
        <f>IF(入力!$F$22="","",IF(入力!$F$22&gt;=DATE(税率・条件!$C$1+2019,計算!AS$3+1,1),"",IF(入力!$F$22&gt;=DATE(税率・条件!$C$1+2019-75,計算!AS$3+1,1),IF(OR(AND(入力!L22="",OR(入力!M22="",入力!M22=2,入力!M22=3)),AND(入力!L22=4,OR(入力!M22="",入力!M22=2,入力!M22=3)),AND(入力!L22=5,OR(入力!M22="",入力!M22=2,入力!M22=3)),AND(入力!L22=6,OR(入力!M22="",入力!M22=2,入力!M22=3)),AND(入力!L22=7,OR(入力!M22="",入力!M22=2,入力!M22=3)),AND(入力!L22=8,OR(入力!M22="",入力!M22=2,入力!M22=3)),AND(入力!L22=9,OR(入力!M22="",入力!M22=2,入力!M22=3)),AND(入力!L22=10,OR(入力!M22="",入力!M22=2,入力!M22=3)),AND(入力!L22=11,OR(入力!M22="",入力!M22=2,入力!M22=3)),AND(入力!L22=12,OR(入力!M22="",入力!M22=2,入力!M22=3)),AND(入力!L22=1,OR(入力!M22="",入力!M22=2,入力!M22=3))),"●",""),"")))</f>
        <v/>
      </c>
      <c r="AT16" s="111" t="str">
        <f>IF(入力!$F$22="","",IF(入力!$F$22&gt;=DATE(税率・条件!$C$1+2019,計算!AT$3+1,1),"",IF(入力!$F$22&gt;=DATE(税率・条件!$C$1+2019-75,計算!AT$3+1,1),IF(OR(AND(入力!L22="",OR(入力!M22="",入力!M22=3)),AND(入力!L22=4,OR(入力!M22="",入力!M22=3)),AND(入力!L22=5,OR(入力!M22="",入力!M22=3)),AND(入力!L22=6,OR(入力!M22="",入力!M22=3)),AND(入力!L22=7,OR(入力!M22="",入力!M22=3)),AND(入力!L22=8,OR(入力!M22="",入力!M22=3)),AND(入力!L22=9,OR(入力!M22="",入力!M22=3)),AND(入力!L22=10,OR(入力!M22="",入力!M22=3)),AND(入力!L22=11,OR(入力!M22="",入力!M22=3)),AND(入力!L22=12,OR(入力!M22="",入力!M22=3)),AND(入力!L22=1,OR(入力!M22="",入力!M22=3)),AND(入力!L22=2,OR(入力!M22="",入力!M22=3))),"●",""),"")))</f>
        <v/>
      </c>
      <c r="AU16" s="112" t="str">
        <f>IF(入力!$F$22="","",IF(入力!$F$22&gt;=DATE(税率・条件!$C$1+2019,計算!AU$3+1,1),"",IF(入力!$F$22&gt;=DATE(税率・条件!$C$1+2019-75,計算!AU$3+1,1),IF(OR(AND(入力!L22="",入力!M22=""),AND(入力!L22=4,入力!M22=""),AND(入力!L22=5,入力!M22=""),AND(入力!L22=6,入力!M22=""),AND(入力!L22=7,入力!M22=""),AND(入力!L22=8,入力!M22=""),AND(入力!L22=9,入力!M22=""),AND(入力!L22=10,入力!M22=""),AND(入力!L22=11,入力!M22=""),AND(入力!L22=12,入力!M22=""),AND(入力!L22=1,入力!M22=""),AND(入力!L22=2,入力!M22=""),AND(入力!L22=3,入力!M22="")),"●",""),"")))</f>
        <v/>
      </c>
      <c r="AW16" s="94" t="str">
        <f>IF(AND(AJ$20=1,AJ16="●"),4,IF(AND(AK$20=1,AK16="●"),5,IF(AND(AL$20=1,AL16="●"),6,IF(AND(AM$20=1,AM16="●"),7,IF(AND(AN$20=1,AN16="●"),8,IF(AND(AO$20=1,AO16="●"),9,IF(AND(AP$20=1,AP16="●"),10,IF(AND(AQ$20=1,AQ16="●"),11,IF(AND(AR$20=1,AR16="●"),12,IF(AND(AS$20=1,AS16="●"),1,IF(AND(AT$20=1,AT16="●"),2,IF(AND(AU$20=1,AU16="●"),3,""))))))))))))</f>
        <v/>
      </c>
      <c r="AY16" s="180" t="s">
        <v>182</v>
      </c>
      <c r="AZ16" s="188">
        <f t="shared" ref="AZ16:BK16" si="23">ROUND(ROUNDDOWN((IF(AJ$5="",0,$AF4)+IF(AJ$7="",0,$AF6)+IF(AJ$9="",0,$AF8)+IF(AJ$11="",0,$AF10)+IF(AJ$13="",0,$AF12)+IF(AJ$15="",0,$AF14)+IF(AJ$17="",0,$AF16)+IF(AJ$19="",0,$AF18)),0)/12,2)</f>
        <v>0</v>
      </c>
      <c r="BA16" s="188">
        <f t="shared" si="23"/>
        <v>0</v>
      </c>
      <c r="BB16" s="188">
        <f t="shared" si="23"/>
        <v>0</v>
      </c>
      <c r="BC16" s="188">
        <f t="shared" si="23"/>
        <v>0</v>
      </c>
      <c r="BD16" s="188">
        <f t="shared" si="23"/>
        <v>0</v>
      </c>
      <c r="BE16" s="188">
        <f t="shared" si="23"/>
        <v>0</v>
      </c>
      <c r="BF16" s="188">
        <f t="shared" si="23"/>
        <v>0</v>
      </c>
      <c r="BG16" s="188">
        <f t="shared" si="23"/>
        <v>0</v>
      </c>
      <c r="BH16" s="188">
        <f t="shared" si="23"/>
        <v>0</v>
      </c>
      <c r="BI16" s="188">
        <f t="shared" si="23"/>
        <v>0</v>
      </c>
      <c r="BJ16" s="188">
        <f t="shared" si="23"/>
        <v>0</v>
      </c>
      <c r="BK16" s="188">
        <f t="shared" si="23"/>
        <v>0</v>
      </c>
      <c r="BL16" s="192">
        <f t="shared" si="22"/>
        <v>0</v>
      </c>
      <c r="BM16" s="184">
        <f>ROUNDDOWN(ROUND(BL16,1),0)</f>
        <v>0</v>
      </c>
    </row>
    <row r="17" spans="1:66" ht="18.95" customHeight="1" x14ac:dyDescent="0.15">
      <c r="A17" s="358"/>
      <c r="B17" s="355"/>
      <c r="C17" s="360"/>
      <c r="D17" s="311"/>
      <c r="E17" s="311"/>
      <c r="F17" s="311"/>
      <c r="G17" s="353"/>
      <c r="H17" s="349"/>
      <c r="I17" s="314"/>
      <c r="J17" s="311"/>
      <c r="K17" s="311"/>
      <c r="L17" s="349"/>
      <c r="M17" s="347"/>
      <c r="N17" s="314"/>
      <c r="O17" s="311"/>
      <c r="P17" s="338"/>
      <c r="Q17" s="340"/>
      <c r="R17" s="342"/>
      <c r="S17" s="308"/>
      <c r="T17" s="334"/>
      <c r="U17" s="311"/>
      <c r="V17" s="311"/>
      <c r="W17" s="328"/>
      <c r="X17" s="316"/>
      <c r="Y17" s="314"/>
      <c r="Z17" s="311"/>
      <c r="AA17" s="311"/>
      <c r="AB17" s="328"/>
      <c r="AC17" s="316"/>
      <c r="AD17" s="314"/>
      <c r="AE17" s="311"/>
      <c r="AF17" s="311"/>
      <c r="AG17" s="328"/>
      <c r="AH17" s="316"/>
      <c r="AI17" s="108" t="str">
        <f>IF(入力!$F$22="","",COUNTIF(AJ17:AU17,"■"))</f>
        <v/>
      </c>
      <c r="AJ17" s="109" t="str">
        <f>IF(入力!$F$22="","",IF(AND(入力!$F$22&gt;DATE(税率・条件!$C$1+2018-65,計算!AJ$3+1,1),入力!$F$22&lt;=DATE(税率・条件!$C$1+2018-40,計算!AJ$3+1,1)),IF(OR(AND(入力!L22="",OR(入力!M22="",入力!M22&gt;4,入力!M22&lt;4)),AND(入力!L22=4,OR(入力!M22="",入力!M22&gt;4,入力!M22&lt;4))),"■",""),""))</f>
        <v/>
      </c>
      <c r="AK17" s="109" t="str">
        <f>IF(入力!$F$22="","",IF(AND(入力!$F$22&gt;DATE(税率・条件!$C$1+2018-65,計算!AK$3+1,1),入力!$F$22&lt;=DATE(税率・条件!$C$1+2018-40,計算!AK$3+1,1)),IF(OR(AND(入力!L22="",OR(入力!M22="",入力!M22&gt;5,入力!M22&lt;4)),AND(入力!L22=4,OR(入力!M22="",入力!M22&gt;5,入力!M22&lt;4)),AND(入力!L22=5,OR(入力!M22="",入力!M22&gt;5,入力!M22&lt;4))),"■",""),""))</f>
        <v/>
      </c>
      <c r="AL17" s="109" t="str">
        <f>IF(入力!$F$22="","",IF(AND(入力!$F$22&gt;DATE(税率・条件!$C$1+2018-65,計算!AL$3+1,1),入力!$F$22&lt;=DATE(税率・条件!$C$1+2018-40,計算!AL$3+1,1)),IF(OR(AND(入力!L22="",OR(入力!M22="",入力!M22&gt;6,入力!M22&lt;4)),AND(入力!L22=4,OR(入力!M22="",入力!M22&gt;6,入力!M22&lt;4)),AND(入力!L22=5,OR(入力!M22="",入力!M22&gt;6,入力!M22&lt;4)),AND(入力!L22=6,OR(入力!M22="",入力!M22&gt;6,入力!M22&lt;4))),"■",""),""))</f>
        <v/>
      </c>
      <c r="AM17" s="109" t="str">
        <f>IF(入力!$F$22="","",IF(AND(入力!$F$22&gt;DATE(税率・条件!$C$1+2018-65,計算!AM$3+1,1),入力!$F$22&lt;=DATE(税率・条件!$C$1+2018-40,計算!AM$3+1,1)),IF(OR(AND(入力!L22="",OR(入力!M22="",入力!M22&gt;7,入力!M22&lt;4)),AND(入力!L22=4,OR(入力!M22="",入力!M22&gt;7,入力!M22&lt;4)),AND(入力!L22=5,OR(入力!M22="",入力!M22&gt;7,入力!M22&lt;4)),AND(入力!L22=6,OR(入力!M22="",入力!M22&gt;7,入力!M22&lt;4)),AND(入力!L22=7,OR(入力!M22="",入力!M22&gt;7,入力!M22&lt;4))),"■",""),""))</f>
        <v/>
      </c>
      <c r="AN17" s="109" t="str">
        <f>IF(入力!$F$22="","",IF(AND(入力!$F$22&gt;DATE(税率・条件!$C$1+2018-65,計算!AN$3+1,1),入力!$F$22&lt;=DATE(税率・条件!$C$1+2018-40,計算!AN$3+1,1)),IF(OR(AND(入力!L22="",OR(入力!M22="",入力!M22&gt;8,入力!M22&lt;4)),AND(入力!L22=4,OR(入力!M22="",入力!M22&gt;8,入力!M22&lt;4)),AND(入力!L22=5,OR(入力!M22="",入力!M22&gt;8,入力!M22&lt;4)),AND(入力!L22=6,OR(入力!M22="",入力!M22&gt;8,入力!M22&lt;4)),AND(入力!L22=7,OR(入力!M22="",入力!M22&gt;8,入力!M22&lt;4)),AND(入力!L22=8,OR(入力!M22="",入力!M22&gt;8,入力!M22&lt;4))),"■",""),""))</f>
        <v/>
      </c>
      <c r="AO17" s="109" t="str">
        <f>IF(入力!$F$22="","",IF(AND(入力!$F$22&gt;DATE(税率・条件!$C$1+2018-65,計算!AO$3+1,1),入力!$F$22&lt;=DATE(税率・条件!$C$1+2018-40,計算!AO$3+1,1)),IF(OR(AND(入力!L22="",OR(入力!M22="",入力!M22&gt;9,入力!M22&lt;4)),AND(入力!L22=4,OR(入力!M22="",入力!M22&gt;9,入力!M22&lt;4)),AND(入力!L22=5,OR(入力!M22="",入力!M22&gt;9,入力!M22&lt;4)),AND(入力!L22=6,OR(入力!M22="",入力!M22&gt;9,入力!M22&lt;4)),AND(入力!L22=7,OR(入力!M22="",入力!M22&gt;9,入力!M22&lt;4)),AND(入力!L22=8,OR(入力!M22="",入力!M22&gt;9,入力!M22&lt;4)),AND(入力!L22=9,OR(入力!M22="",入力!M22&gt;9,入力!M22&lt;4))),"■",""),""))</f>
        <v/>
      </c>
      <c r="AP17" s="109" t="str">
        <f>IF(入力!$F$22="","",IF(AND(入力!$F$22&gt;DATE(税率・条件!$C$1+2018-65,計算!AP$3+1,1),入力!$F$22&lt;=DATE(税率・条件!$C$1+2018-40,計算!AP$3+1,1)),IF(OR(AND(入力!L22="",OR(入力!M22="",入力!M22&gt;10,入力!M22&lt;4)),AND(入力!L22=4,OR(入力!M22="",入力!M22&gt;10,入力!M22&lt;4)),AND(入力!L22=5,OR(入力!M22="",入力!M22&gt;10,入力!M22&lt;4)),AND(入力!L22=6,OR(入力!M22="",入力!M22&gt;10,入力!M22&lt;4)),AND(入力!L22=7,OR(入力!M22="",入力!M22&gt;10,入力!M22&lt;4)),AND(入力!L22=8,OR(入力!M22="",入力!M22&gt;10,入力!M22&lt;4)),AND(入力!L22=9,OR(入力!M22="",入力!M22&gt;10,入力!M22&lt;4)),AND(入力!L22=10,OR(入力!M22="",入力!M22&gt;10,入力!M22&lt;4))),"■",""),""))</f>
        <v/>
      </c>
      <c r="AQ17" s="109" t="str">
        <f>IF(入力!$F$22="","",IF(AND(入力!$F$22&gt;DATE(税率・条件!$C$1+2018-65,計算!AQ$3+1,1),入力!$F$22&lt;=DATE(税率・条件!$C$1+2018-40,計算!AQ$3+1,1)),IF(OR(AND(入力!L22="",OR(入力!M22="",入力!M22&gt;11,入力!M22&lt;4)),AND(入力!L22=4,OR(入力!M22="",入力!M22&gt;11,入力!M22&lt;4)),AND(入力!L22=5,OR(入力!M22="",入力!M22&gt;11,入力!M22&lt;4)),AND(入力!L22=6,OR(入力!M22="",入力!M22&gt;11,入力!M22&lt;4)),AND(入力!L22=7,OR(入力!M22="",入力!M22&gt;11,入力!M22&lt;4)),AND(入力!L22=8,OR(入力!M22="",入力!M22&gt;11,入力!M22&lt;4)),AND(入力!L22=9,OR(入力!M22="",入力!M22&gt;11,入力!M22&lt;4)),AND(入力!L22=10,OR(入力!M22="",入力!M22&gt;11,入力!M22&lt;4)),AND(入力!L22=11,OR(入力!M22="",入力!M22&gt;11,入力!M22&lt;4))),"■",""),""))</f>
        <v/>
      </c>
      <c r="AR17" s="109" t="str">
        <f>IF(入力!$F$22="","",IF(AND(入力!$F$22&gt;DATE(税率・条件!$C$1+2018-65,計算!AR$3+1,1),入力!$F$22&lt;=DATE(税率・条件!$C$1+2018-40,計算!AR$3+1,1)),IF(OR(AND(入力!L22="",OR(入力!M22="",入力!M22&gt;12,入力!M22&lt;4)),AND(入力!L22=4,OR(入力!M22="",入力!M22&gt;12,入力!M22&lt;4)),AND(入力!L22=5,OR(入力!M22="",入力!M22&gt;12,入力!M22&lt;4)),AND(入力!L22=6,OR(入力!M22="",入力!M22&gt;12,入力!M22&lt;4)),AND(入力!L22=7,OR(入力!M22="",入力!M22&gt;12,入力!M22&lt;4)),AND(入力!L22=8,OR(入力!M22="",入力!M22&gt;12,入力!M22&lt;4)),AND(入力!L22=9,OR(入力!M22="",入力!M22&gt;12,入力!M22&lt;4)),AND(入力!L22=10,OR(入力!M22="",入力!M22&gt;12,入力!M22&lt;4)),AND(入力!L22=11,OR(入力!M22="",入力!M22&gt;12,入力!M22&lt;4)),AND(入力!L22=12,OR(入力!M22="",入力!M22&gt;12,入力!M22&lt;4))),"■",""),""))</f>
        <v/>
      </c>
      <c r="AS17" s="109" t="str">
        <f>IF(入力!$F$22="","",IF(AND(入力!$F$22&gt;DATE(税率・条件!$C$1+2019-65,計算!AS$3+1,1),入力!$F$22&lt;=DATE(税率・条件!$C$1+2019-40,計算!AS$3+1,1)),IF(OR(AND(入力!L22="",OR(入力!M22="",入力!M22=2,入力!M22=3)),AND(入力!L22=4,OR(入力!M22="",入力!M22=2,入力!M22=3)),AND(入力!L22=5,OR(入力!M22="",入力!M22=2,入力!M22=3)),AND(入力!L22=6,OR(入力!M22="",入力!M22=2,入力!M22=3)),AND(入力!L22=7,OR(入力!M22="",入力!M22=2,入力!M22=3)),AND(入力!L22=8,OR(入力!M22="",入力!M22=2,入力!M22=3)),AND(入力!L22=9,OR(入力!M22="",入力!M22=2,入力!M22=3)),AND(入力!L22=10,OR(入力!M22="",入力!M22=2,入力!M22=3)),AND(入力!L22=11,OR(入力!M22="",入力!M22=2,入力!M22=3)),AND(入力!L22=12,OR(入力!M22="",入力!M22=2,入力!M22=3)),AND(入力!L22=1,OR(入力!M22="",入力!M22=2,入力!M22=3))),"■",""),""))</f>
        <v/>
      </c>
      <c r="AT17" s="109" t="str">
        <f>IF(入力!$F$22="","",IF(AND(入力!$F$22&gt;DATE(税率・条件!$C$1+2019-65,計算!AT$3+1,1),入力!$F$22&lt;=DATE(税率・条件!$C$1+2019-40,計算!AT$3+1,1)),IF(OR(AND(入力!L22="",OR(入力!M22="",入力!M22=3)),AND(入力!L22=4,OR(入力!M22="",入力!M22=3)),AND(入力!L22=5,OR(入力!M22="",入力!M22=3)),AND(入力!L22=6,OR(入力!M22="",入力!M22=3)),AND(入力!L22=7,OR(入力!M22="",入力!M22=3)),AND(入力!L22=8,OR(入力!M22="",入力!M22=3)),AND(入力!L22=9,OR(入力!M22="",入力!M22=3)),AND(入力!L22=10,OR(入力!M22="",入力!M22=3)),AND(入力!L22=11,OR(入力!M22="",入力!M22=3)),AND(入力!L22=12,OR(入力!M22="",入力!M22=3)),AND(入力!L22=1,OR(入力!M22="",入力!M22=3)),AND(入力!L22=2,OR(入力!M22="",入力!M22=3))),"■",""),""))</f>
        <v/>
      </c>
      <c r="AU17" s="110" t="str">
        <f>IF(入力!$F$22="","",IF(AND(入力!$F$22&gt;DATE(税率・条件!$C$1+2019-65,計算!AU$3+1,1),入力!$F$22&lt;=DATE(税率・条件!$C$1+2019-40,計算!AU$3+1,1)),IF(OR(AND(入力!L22="",入力!M22=""),AND(入力!L22=4,入力!M22=""),AND(入力!L22=5,入力!M22=""),AND(入力!L22=6,入力!M22=""),AND(入力!L22=7,入力!M22=""),AND(入力!L22=8,入力!M22=""),AND(入力!L22=9,入力!M22=""),AND(入力!L22=10,入力!M22=""),AND(入力!L22=11,入力!M22=""),AND(入力!L22=12,入力!M22=""),AND(入力!L22=1,入力!M22=""),AND(入力!L22=2,入力!M22=""),AND(入力!L22=3,入力!M22="")),"■",""),""))</f>
        <v/>
      </c>
      <c r="AY17" s="180" t="s">
        <v>183</v>
      </c>
      <c r="AZ17" s="188">
        <f t="shared" ref="AZ17:BK17" si="24">ROUND(ROUNDDOWN(IF(AJ$21="",0,$AG4),0)/12,2)</f>
        <v>0</v>
      </c>
      <c r="BA17" s="188">
        <f t="shared" si="24"/>
        <v>0</v>
      </c>
      <c r="BB17" s="188">
        <f t="shared" si="24"/>
        <v>0</v>
      </c>
      <c r="BC17" s="188">
        <f t="shared" si="24"/>
        <v>0</v>
      </c>
      <c r="BD17" s="188">
        <f t="shared" si="24"/>
        <v>0</v>
      </c>
      <c r="BE17" s="188">
        <f t="shared" si="24"/>
        <v>0</v>
      </c>
      <c r="BF17" s="188">
        <f t="shared" si="24"/>
        <v>0</v>
      </c>
      <c r="BG17" s="188">
        <f t="shared" si="24"/>
        <v>0</v>
      </c>
      <c r="BH17" s="188">
        <f t="shared" si="24"/>
        <v>0</v>
      </c>
      <c r="BI17" s="188">
        <f t="shared" si="24"/>
        <v>0</v>
      </c>
      <c r="BJ17" s="188">
        <f t="shared" si="24"/>
        <v>0</v>
      </c>
      <c r="BK17" s="188">
        <f t="shared" si="24"/>
        <v>0</v>
      </c>
      <c r="BL17" s="192">
        <f t="shared" si="22"/>
        <v>0</v>
      </c>
      <c r="BM17" s="184">
        <f>ROUNDDOWN(ROUND(BL17,1),0)</f>
        <v>0</v>
      </c>
    </row>
    <row r="18" spans="1:66" ht="18.95" customHeight="1" thickBot="1" x14ac:dyDescent="0.2">
      <c r="A18" s="357" t="str">
        <f>入力!E23</f>
        <v>８</v>
      </c>
      <c r="B18" s="354" t="str">
        <f>IF(入力!F23="","",IF(入力!F23&lt;=DATE(税率・条件!C1+1953,1,1),"65歳以上",IF(入力!F23&gt;DATE(税率・条件!C1+2012,4,1),"未就学","一般")))</f>
        <v/>
      </c>
      <c r="C18" s="359" t="str">
        <f>IF(D18="","",IF(入力!K23="該 当","該当","非該当"))</f>
        <v/>
      </c>
      <c r="D18" s="336" t="str">
        <f>IF(入力!G23="","",ROUNDDOWN(VLOOKUP(入力!G23,$B$24:$J$35,9,1)*IF(入力!K23="該 当",0.3,1),0))</f>
        <v/>
      </c>
      <c r="E18" s="336" t="str">
        <f>IF(D18="","",IF(OR(D18="",K18=""),0,IF(D18+K18&lt;100000,0,IF(D18&lt;100000,D18,100000)+IF(K18&lt;100000,K18,100000)-100000)))</f>
        <v/>
      </c>
      <c r="F18" s="336" t="str">
        <f>IF(D18="","",D18-E18)</f>
        <v/>
      </c>
      <c r="G18" s="350" t="str">
        <f>IF(D18="","",IF(OR(D18="",L18=""),0,IF(D18+L18&lt;100000,0,IF(D18&lt;100000,D18,100000)+IF(L18&lt;100000,L18,100000)-100000)))</f>
        <v/>
      </c>
      <c r="H18" s="348" t="str">
        <f>IF(D18="","",D18-G18)</f>
        <v/>
      </c>
      <c r="I18" s="335" t="str">
        <f>IF(入力!H23="","",IF(B18="65歳以上",VLOOKUP(入力!H23,$B$48:$D$52,2,1),VLOOKUP(入力!H23,$B$40:$D$44,2,1)))</f>
        <v/>
      </c>
      <c r="J18" s="336" t="str">
        <f>IF(I18="","",IF(B18="65歳以上",VLOOKUP(入力!H23,$B$48:$D$52,3,1),VLOOKUP(入力!H23,$B$40:$D$44,3,1)))</f>
        <v/>
      </c>
      <c r="K18" s="336" t="str">
        <f>IF(I18="","",IF(入力!H23*計算!I18/100-計算!J18&lt;0,0,ROUNDDOWN(入力!H23*計算!I18/100-計算!J18,0)))</f>
        <v/>
      </c>
      <c r="L18" s="348" t="str">
        <f>IF(K18="","",IF(B18="65歳以上",IF(K18&lt;税率・条件!$G$9,0,K18-税率・条件!$G$9),K18))</f>
        <v/>
      </c>
      <c r="M18" s="346" t="str">
        <f>IF(入力!I23="","",入力!I23)</f>
        <v/>
      </c>
      <c r="N18" s="335" t="str">
        <f>IF(入力!F23="","",SUM(F18,K18,M18))</f>
        <v/>
      </c>
      <c r="O18" s="336" t="str">
        <f>IF(入力!P23&lt;&gt;"",IF(計算!N18-430000&gt;0,計算!N18-430000,0),"")</f>
        <v/>
      </c>
      <c r="P18" s="337" t="str">
        <f>IF(入力!Q23&lt;&gt;"",IF(計算!N18-430000&gt;0,計算!N18-430000,0),"")</f>
        <v/>
      </c>
      <c r="Q18" s="339" t="str">
        <f>IF(N18="","",IF(AW18&lt;&gt;AW20,"",SUM(H18,L18,M18)))</f>
        <v/>
      </c>
      <c r="R18" s="341" t="str">
        <f>IF(AND(D18="",K18=""),"",IF(AW18&lt;&gt;AW20,"",IF(OR(入力!G23&gt;550000,AND(B18="65歳以上",入力!H23&gt;1250000),AND(B18&lt;&gt;"65歳以上",入力!H23&gt;600000)),1,"")))</f>
        <v/>
      </c>
      <c r="S18" s="307" t="str">
        <f>IF(N18="","",IF(AND(入力!$H$25&lt;&gt;"",入力!$C$19="全員申告済み",$AW$18=$AW$20),"該当",""))</f>
        <v/>
      </c>
      <c r="T18" s="332" t="str">
        <f>IF($O18="","",ROUNDDOWN($O18*税率・条件!$C$4/100,0))</f>
        <v/>
      </c>
      <c r="U18" s="310" t="str">
        <f>IF(入力!$P23="","",ROUNDDOWN(入力!$J23*税率・条件!$C$5/100,0))</f>
        <v/>
      </c>
      <c r="V18" s="310" t="str">
        <f>IF(入力!$P23="","",ROUNDDOWN(税率・条件!$C$6*(100%-IF(B18="未就学",税率・条件!$H$11,0%))*(100%-$M$34),0))</f>
        <v/>
      </c>
      <c r="W18" s="325"/>
      <c r="X18" s="315" t="str">
        <f t="shared" si="2"/>
        <v/>
      </c>
      <c r="Y18" s="313" t="str">
        <f>IF($O18="","",ROUNDDOWN($O18*税率・条件!$C$9/100,0))</f>
        <v/>
      </c>
      <c r="Z18" s="310" t="str">
        <f>IF(入力!$P23="","",ROUNDDOWN(入力!$J23*税率・条件!$C$10/100,0))</f>
        <v/>
      </c>
      <c r="AA18" s="310" t="str">
        <f>IF(入力!$P23="","",ROUNDDOWN(税率・条件!$C$11*(100%-IF(B18="未就学",税率・条件!$H$11,0%))*(100%-$M$34),0))</f>
        <v/>
      </c>
      <c r="AB18" s="325"/>
      <c r="AC18" s="315" t="str">
        <f t="shared" si="6"/>
        <v/>
      </c>
      <c r="AD18" s="313" t="str">
        <f>IF($P18="","",ROUNDDOWN($P18*税率・条件!$C$14/100,0))</f>
        <v/>
      </c>
      <c r="AE18" s="310" t="str">
        <f>IF(入力!$Q23="","",ROUNDDOWN(入力!$J23*税率・条件!$C$15/100,0))</f>
        <v/>
      </c>
      <c r="AF18" s="310" t="str">
        <f>IF(入力!$Q23="","",ROUNDDOWN(税率・条件!$C$16*(100%-$M$34),0))</f>
        <v/>
      </c>
      <c r="AG18" s="325"/>
      <c r="AH18" s="315" t="str">
        <f t="shared" si="3"/>
        <v/>
      </c>
      <c r="AI18" s="107" t="str">
        <f>IF(入力!$F$23="","",COUNTIF(AJ18:AU18,"●"))</f>
        <v/>
      </c>
      <c r="AJ18" s="111" t="str">
        <f>IF(入力!$F$23="","",IF(入力!$F$23&gt;=DATE(税率・条件!$C$1+2018,計算!AJ$3+1,1),"",IF(入力!$F$23&gt;=DATE(税率・条件!$C$1+2018-75,計算!AJ$3+1,1),IF(OR(AND(入力!L23="",OR(入力!M23="",入力!M23&gt;4,入力!M23&lt;4)),AND(入力!L23=4,OR(入力!M23="",入力!M23&gt;4,入力!M23&lt;4))),"●",""),"")))</f>
        <v/>
      </c>
      <c r="AK18" s="111" t="str">
        <f>IF(入力!$F$23="","",IF(入力!$F$23&gt;=DATE(税率・条件!$C$1+2018,計算!AK$3+1,1),"",IF(入力!$F$23&gt;=DATE(税率・条件!$C$1+2018-75,計算!AK$3+1,1),IF(OR(AND(入力!L23="",OR(入力!M23="",入力!M23&gt;5,入力!M23&lt;4)),AND(入力!L23=4,OR(入力!M23="",入力!M23&gt;5,入力!M23&lt;4)),AND(入力!L23=5,OR(入力!M23="",入力!M23&gt;5,入力!M23&lt;4))),"●",""),"")))</f>
        <v/>
      </c>
      <c r="AL18" s="111" t="str">
        <f>IF(入力!$F$23="","",IF(入力!$F$23&gt;=DATE(税率・条件!$C$1+2018,計算!AL$3+1,1),"",IF(入力!$F$23&gt;=DATE(税率・条件!$C$1+2018-75,計算!AL$3+1,1),IF(OR(AND(入力!L23="",OR(入力!M23="",入力!M23&gt;6,入力!M23&lt;4)),AND(入力!L23=4,OR(入力!M23="",入力!M23&gt;6,入力!M23&lt;4)),AND(入力!L23=5,OR(入力!M23="",入力!M23&gt;6,入力!M23&lt;4)),AND(入力!L23=6,OR(入力!M23="",入力!M23&gt;6,入力!M23&lt;4))),"●",""),"")))</f>
        <v/>
      </c>
      <c r="AM18" s="111" t="str">
        <f>IF(入力!$F$23="","",IF(入力!$F$23&gt;=DATE(税率・条件!$C$1+2018,計算!AM$3+1,1),"",IF(入力!$F$23&gt;=DATE(税率・条件!$C$1+2018-75,計算!AM$3+1,1),IF(OR(AND(入力!L23="",OR(入力!M23="",入力!M23&gt;7,入力!M23&lt;4)),AND(入力!L23=4,OR(入力!M23="",入力!M23&gt;7,入力!M23&lt;4)),AND(入力!L23=5,OR(入力!M23="",入力!M23&gt;7,入力!M23&lt;4)),AND(入力!L23=6,OR(入力!M23="",入力!M23&gt;7,入力!M23&lt;4)),AND(入力!L23=7,OR(入力!M23="",入力!M23&gt;7,入力!M23&lt;4))),"●",""),"")))</f>
        <v/>
      </c>
      <c r="AN18" s="111" t="str">
        <f>IF(入力!$F$23="","",IF(入力!$F$23&gt;=DATE(税率・条件!$C$1+2018,計算!AN$3+1,1),"",IF(入力!$F$23&gt;=DATE(税率・条件!$C$1+2018-75,計算!AN$3+1,1),IF(OR(AND(入力!L23="",OR(入力!M23="",入力!M23&gt;8,入力!M23&lt;4)),AND(入力!L23=4,OR(入力!M23="",入力!M23&gt;8,入力!M23&lt;4)),AND(入力!L23=5,OR(入力!M23="",入力!M23&gt;8,入力!M23&lt;4)),AND(入力!L23=6,OR(入力!M23="",入力!M23&gt;8,入力!M23&lt;4)),AND(入力!L23=7,OR(入力!M23="",入力!M23&gt;8,入力!M23&lt;4)),AND(入力!L23=8,OR(入力!M23="",入力!M23&gt;8,入力!M23&lt;4))),"●",""),"")))</f>
        <v/>
      </c>
      <c r="AO18" s="111" t="str">
        <f>IF(入力!$F$23="","",IF(入力!$F$23&gt;=DATE(税率・条件!$C$1+2018,計算!AO$3+1,1),"",IF(入力!$F$23&gt;=DATE(税率・条件!$C$1+2018-75,計算!AO$3+1,1),IF(OR(AND(入力!L23="",OR(入力!M23="",入力!M23&gt;9,入力!M23&lt;4)),AND(入力!L23=4,OR(入力!M23="",入力!M23&gt;9,入力!M23&lt;4)),AND(入力!L23=5,OR(入力!M23="",入力!M23&gt;9,入力!M23&lt;4)),AND(入力!L23=6,OR(入力!M23="",入力!M23&gt;9,入力!M23&lt;4)),AND(入力!L23=7,OR(入力!M23="",入力!M23&gt;9,入力!M23&lt;4)),AND(入力!L23=8,OR(入力!M23="",入力!M23&gt;9,入力!M23&lt;4)),AND(入力!L23=9,OR(入力!M23="",入力!M23&gt;9,入力!M23&lt;4))),"●",""),"")))</f>
        <v/>
      </c>
      <c r="AP18" s="111" t="str">
        <f>IF(入力!$F$23="","",IF(入力!$F$23&gt;=DATE(税率・条件!$C$1+2018,計算!AP$3+1,1),"",IF(入力!$F$23&gt;=DATE(税率・条件!$C$1+2018-75,計算!AP$3+1,1),IF(OR(AND(入力!L23="",OR(入力!M23="",入力!M23&gt;10,入力!M23&lt;4)),AND(入力!L23=4,OR(入力!M23="",入力!M23&gt;10,入力!M23&lt;4)),AND(入力!L23=5,OR(入力!M23="",入力!M23&gt;10,入力!M23&lt;4)),AND(入力!L23=6,OR(入力!M23="",入力!M23&gt;10,入力!M23&lt;4)),AND(入力!L23=7,OR(入力!M23="",入力!M23&gt;10,入力!M23&lt;4)),AND(入力!L23=8,OR(入力!M23="",入力!M23&gt;10,入力!M23&lt;4)),AND(入力!L23=9,OR(入力!M23="",入力!M23&gt;10,入力!M23&lt;4)),AND(入力!L23=10,OR(入力!M23="",入力!M23&gt;10,入力!M23&lt;4))),"●",""),"")))</f>
        <v/>
      </c>
      <c r="AQ18" s="111" t="str">
        <f>IF(入力!$F$23="","",IF(入力!$F$23&gt;=DATE(税率・条件!$C$1+2018,計算!AQ$3+1,1),"",IF(入力!$F$23&gt;=DATE(税率・条件!$C$1+2018-75,計算!AQ$3+1,1),IF(OR(AND(入力!L23="",OR(入力!M23="",入力!M23&gt;11,入力!M23&lt;4)),AND(入力!L23=4,OR(入力!M23="",入力!M23&gt;11,入力!M23&lt;4)),AND(入力!L23=5,OR(入力!M23="",入力!M23&gt;11,入力!M23&lt;4)),AND(入力!L23=6,OR(入力!M23="",入力!M23&gt;11,入力!M23&lt;4)),AND(入力!L23=7,OR(入力!M23="",入力!M23&gt;11,入力!M23&lt;4)),AND(入力!L23=8,OR(入力!M23="",入力!M23&gt;11,入力!M23&lt;4)),AND(入力!L23=9,OR(入力!M23="",入力!M23&gt;11,入力!M23&lt;4)),AND(入力!L23=10,OR(入力!M23="",入力!M23&gt;11,入力!M23&lt;4)),AND(入力!L23=11,OR(入力!M23="",入力!M23&gt;11,入力!M23&lt;4))),"●",""),"")))</f>
        <v/>
      </c>
      <c r="AR18" s="111" t="str">
        <f>IF(入力!$F$23="","",IF(入力!$F$23&gt;=DATE(税率・条件!$C$1+2018,計算!AR$3+1,1),"",IF(入力!$F$23&gt;=DATE(税率・条件!$C$1+2018-75,計算!AR$3+1,1),IF(OR(AND(入力!L23="",OR(入力!M23="",入力!M23&gt;12,入力!M23&lt;4)),AND(入力!L23=4,OR(入力!M23="",入力!M23&gt;12,入力!M23&lt;4)),AND(入力!L23=5,OR(入力!M23="",入力!M23&gt;12,入力!M23&lt;4)),AND(入力!L23=6,OR(入力!M23="",入力!M23&gt;12,入力!M23&lt;4)),AND(入力!L23=7,OR(入力!M23="",入力!M23&gt;12,入力!M23&lt;4)),AND(入力!L23=8,OR(入力!M23="",入力!M23&gt;12,入力!M23&lt;4)),AND(入力!L23=9,OR(入力!M23="",入力!M23&gt;12,入力!M23&lt;4)),AND(入力!L23=10,OR(入力!M23="",入力!M23&gt;12,入力!M23&lt;4)),AND(入力!L23=11,OR(入力!M23="",入力!M23&gt;12,入力!M23&lt;4)),AND(入力!L23=12,OR(入力!M23="",入力!M23&gt;12,入力!M23&lt;4))),"●",""),"")))</f>
        <v/>
      </c>
      <c r="AS18" s="111" t="str">
        <f>IF(入力!$F$23="","",IF(入力!$F$23&gt;=DATE(税率・条件!$C$1+2019,計算!AS$3+1,1),"",IF(入力!$F$23&gt;=DATE(税率・条件!$C$1+2019-75,計算!AS$3+1,1),IF(OR(AND(入力!L23="",OR(入力!M23="",入力!M23=2,入力!M23=3)),AND(入力!L23=4,OR(入力!M23="",入力!M23=2,入力!M23=3)),AND(入力!L23=5,OR(入力!M23="",入力!M23=2,入力!M23=3)),AND(入力!L23=6,OR(入力!M23="",入力!M23=2,入力!M23=3)),AND(入力!L23=7,OR(入力!M23="",入力!M23=2,入力!M23=3)),AND(入力!L23=8,OR(入力!M23="",入力!M23=2,入力!M23=3)),AND(入力!L23=9,OR(入力!M23="",入力!M23=2,入力!M23=3)),AND(入力!L23=10,OR(入力!M23="",入力!M23=2,入力!M23=3)),AND(入力!L23=11,OR(入力!M23="",入力!M23=2,入力!M23=3)),AND(入力!L23=12,OR(入力!M23="",入力!M23=2,入力!M23=3)),AND(入力!L23=1,OR(入力!M23="",入力!M23=2,入力!M23=3))),"●",""),"")))</f>
        <v/>
      </c>
      <c r="AT18" s="111" t="str">
        <f>IF(入力!$F$23="","",IF(入力!$F$23&gt;=DATE(税率・条件!$C$1+2019,計算!AT$3+1,1),"",IF(入力!$F$23&gt;=DATE(税率・条件!$C$1+2019-75,計算!AT$3+1,1),IF(OR(AND(入力!L23="",OR(入力!M23="",入力!M23=3)),AND(入力!L23=4,OR(入力!M23="",入力!M23=3)),AND(入力!L23=5,OR(入力!M23="",入力!M23=3)),AND(入力!L23=6,OR(入力!M23="",入力!M23=3)),AND(入力!L23=7,OR(入力!M23="",入力!M23=3)),AND(入力!L23=8,OR(入力!M23="",入力!M23=3)),AND(入力!L23=9,OR(入力!M23="",入力!M23=3)),AND(入力!L23=10,OR(入力!M23="",入力!M23=3)),AND(入力!L23=11,OR(入力!M23="",入力!M23=3)),AND(入力!L23=12,OR(入力!M23="",入力!M23=3)),AND(入力!L23=1,OR(入力!M23="",入力!M23=3)),AND(入力!L23=2,OR(入力!M23="",入力!M23=3))),"●",""),"")))</f>
        <v/>
      </c>
      <c r="AU18" s="112" t="str">
        <f>IF(入力!$F$23="","",IF(入力!$F$23&gt;=DATE(税率・条件!$C$1+2019,計算!AU$3+1,1),"",IF(入力!$F$23&gt;=DATE(税率・条件!$C$1+2019-75,計算!AU$3+1,1),IF(OR(AND(入力!L23="",入力!M23=""),AND(入力!L23=4,入力!M23=""),AND(入力!L23=5,入力!M23=""),AND(入力!L23=6,入力!M23=""),AND(入力!L23=7,入力!M23=""),AND(入力!L23=8,入力!M23=""),AND(入力!L23=9,入力!M23=""),AND(入力!L23=10,入力!M23=""),AND(入力!L23=11,入力!M23=""),AND(入力!L23=12,入力!M23=""),AND(入力!L23=1,入力!M23=""),AND(入力!L23=2,入力!M23=""),AND(入力!L23=3,入力!M23="")),"●",""),"")))</f>
        <v/>
      </c>
      <c r="AW18" s="94" t="str">
        <f>IF(AND(AJ$20=1,AJ18="●"),4,IF(AND(AK$20=1,AK18="●"),5,IF(AND(AL$20=1,AL18="●"),6,IF(AND(AM$20=1,AM18="●"),7,IF(AND(AN$20=1,AN18="●"),8,IF(AND(AO$20=1,AO18="●"),9,IF(AND(AP$20=1,AP18="●"),10,IF(AND(AQ$20=1,AQ18="●"),11,IF(AND(AR$20=1,AR18="●"),12,IF(AND(AS$20=1,AS18="●"),1,IF(AND(AT$20=1,AT18="●"),2,IF(AND(AU$20=1,AU18="●"),3,""))))))))))))</f>
        <v/>
      </c>
      <c r="AY18" s="181" t="s">
        <v>186</v>
      </c>
      <c r="AZ18" s="185">
        <f>SUM(AZ14:AZ17)</f>
        <v>0</v>
      </c>
      <c r="BA18" s="185">
        <f t="shared" ref="BA18" si="25">SUM(BA14:BA17)</f>
        <v>0</v>
      </c>
      <c r="BB18" s="185">
        <f t="shared" ref="BB18" si="26">SUM(BB14:BB17)</f>
        <v>0</v>
      </c>
      <c r="BC18" s="185">
        <f t="shared" ref="BC18" si="27">SUM(BC14:BC17)</f>
        <v>0</v>
      </c>
      <c r="BD18" s="185">
        <f t="shared" ref="BD18" si="28">SUM(BD14:BD17)</f>
        <v>0</v>
      </c>
      <c r="BE18" s="185">
        <f t="shared" ref="BE18" si="29">SUM(BE14:BE17)</f>
        <v>0</v>
      </c>
      <c r="BF18" s="185">
        <f t="shared" ref="BF18" si="30">SUM(BF14:BF17)</f>
        <v>0</v>
      </c>
      <c r="BG18" s="185">
        <f t="shared" ref="BG18" si="31">SUM(BG14:BG17)</f>
        <v>0</v>
      </c>
      <c r="BH18" s="185">
        <f t="shared" ref="BH18" si="32">SUM(BH14:BH17)</f>
        <v>0</v>
      </c>
      <c r="BI18" s="185">
        <f t="shared" ref="BI18" si="33">SUM(BI14:BI17)</f>
        <v>0</v>
      </c>
      <c r="BJ18" s="185">
        <f t="shared" ref="BJ18" si="34">SUM(BJ14:BJ17)</f>
        <v>0</v>
      </c>
      <c r="BK18" s="185">
        <f t="shared" ref="BK18" si="35">SUM(BK14:BK17)</f>
        <v>0</v>
      </c>
      <c r="BL18" s="185">
        <f>SUM(AZ18:BK18)</f>
        <v>0</v>
      </c>
      <c r="BM18" s="186">
        <f t="shared" ref="BM18" si="36">ROUNDDOWN(ROUND(BL18,1),0)</f>
        <v>0</v>
      </c>
    </row>
    <row r="19" spans="1:66" ht="18.95" customHeight="1" thickBot="1" x14ac:dyDescent="0.2">
      <c r="A19" s="394"/>
      <c r="B19" s="356"/>
      <c r="C19" s="361"/>
      <c r="D19" s="312"/>
      <c r="E19" s="312"/>
      <c r="F19" s="312"/>
      <c r="G19" s="351"/>
      <c r="H19" s="352"/>
      <c r="I19" s="317"/>
      <c r="J19" s="312"/>
      <c r="K19" s="312"/>
      <c r="L19" s="352"/>
      <c r="M19" s="364"/>
      <c r="N19" s="317"/>
      <c r="O19" s="312"/>
      <c r="P19" s="343"/>
      <c r="Q19" s="344"/>
      <c r="R19" s="345"/>
      <c r="S19" s="309"/>
      <c r="T19" s="333"/>
      <c r="U19" s="312"/>
      <c r="V19" s="312"/>
      <c r="W19" s="326"/>
      <c r="X19" s="327"/>
      <c r="Y19" s="317"/>
      <c r="Z19" s="312"/>
      <c r="AA19" s="312"/>
      <c r="AB19" s="326"/>
      <c r="AC19" s="327"/>
      <c r="AD19" s="317"/>
      <c r="AE19" s="312"/>
      <c r="AF19" s="312"/>
      <c r="AG19" s="326"/>
      <c r="AH19" s="327"/>
      <c r="AI19" s="113" t="str">
        <f>IF(入力!$F$23="","",COUNTIF(AJ19:AU19,"■"))</f>
        <v/>
      </c>
      <c r="AJ19" s="114" t="str">
        <f>IF(入力!$F$23="","",IF(AND(入力!$F$23&gt;DATE(税率・条件!$C$1+2018-65,計算!AJ$3+1,1),入力!$F$23&lt;=DATE(税率・条件!$C$1+2018-40,計算!AJ$3+1,1)),IF(OR(AND(入力!L23="",OR(入力!M23="",入力!M23&gt;4,入力!M23&lt;4)),AND(入力!L23=4,OR(入力!M23="",入力!M23&gt;4,入力!M23&lt;4))),"■",""),""))</f>
        <v/>
      </c>
      <c r="AK19" s="114" t="str">
        <f>IF(入力!$F$23="","",IF(AND(入力!$F$23&gt;DATE(税率・条件!$C$1+2018-65,計算!AK$3+1,1),入力!$F$23&lt;=DATE(税率・条件!$C$1+2018-40,計算!AK$3+1,1)),IF(OR(AND(入力!L23="",OR(入力!M23="",入力!M23&gt;5,入力!M23&lt;4)),AND(入力!L23=4,OR(入力!M23="",入力!M23&gt;5,入力!M23&lt;4)),AND(入力!L23=5,OR(入力!M23="",入力!M23&gt;5,入力!M23&lt;4))),"■",""),""))</f>
        <v/>
      </c>
      <c r="AL19" s="114" t="str">
        <f>IF(入力!$F$23="","",IF(AND(入力!$F$23&gt;DATE(税率・条件!$C$1+2018-65,計算!AL$3+1,1),入力!$F$23&lt;=DATE(税率・条件!$C$1+2018-40,計算!AL$3+1,1)),IF(OR(AND(入力!L23="",OR(入力!M23="",入力!M23&gt;6,入力!M23&lt;4)),AND(入力!L23=4,OR(入力!M23="",入力!M23&gt;6,入力!M23&lt;4)),AND(入力!L23=5,OR(入力!M23="",入力!M23&gt;6,入力!M23&lt;4)),AND(入力!L23=6,OR(入力!M23="",入力!M23&gt;6,入力!M23&lt;4))),"■",""),""))</f>
        <v/>
      </c>
      <c r="AM19" s="114" t="str">
        <f>IF(入力!$F$23="","",IF(AND(入力!$F$23&gt;DATE(税率・条件!$C$1+2018-65,計算!AM$3+1,1),入力!$F$23&lt;=DATE(税率・条件!$C$1+2018-40,計算!AM$3+1,1)),IF(OR(AND(入力!L23="",OR(入力!M23="",入力!M23&gt;7,入力!M23&lt;4)),AND(入力!L23=4,OR(入力!M23="",入力!M23&gt;7,入力!M23&lt;4)),AND(入力!L23=5,OR(入力!M23="",入力!M23&gt;7,入力!M23&lt;4)),AND(入力!L23=6,OR(入力!M23="",入力!M23&gt;7,入力!M23&lt;4)),AND(入力!L23=7,OR(入力!M23="",入力!M23&gt;7,入力!M23&lt;4))),"■",""),""))</f>
        <v/>
      </c>
      <c r="AN19" s="114" t="str">
        <f>IF(入力!$F$23="","",IF(AND(入力!$F$23&gt;DATE(税率・条件!$C$1+2018-65,計算!AN$3+1,1),入力!$F$23&lt;=DATE(税率・条件!$C$1+2018-40,計算!AN$3+1,1)),IF(OR(AND(入力!L23="",OR(入力!M23="",入力!M23&gt;8,入力!M23&lt;4)),AND(入力!L23=4,OR(入力!M23="",入力!M23&gt;8,入力!M23&lt;4)),AND(入力!L23=5,OR(入力!M23="",入力!M23&gt;8,入力!M23&lt;4)),AND(入力!L23=6,OR(入力!M23="",入力!M23&gt;8,入力!M23&lt;4)),AND(入力!L23=7,OR(入力!M23="",入力!M23&gt;8,入力!M23&lt;4)),AND(入力!L23=8,OR(入力!M23="",入力!M23&gt;8,入力!M23&lt;4))),"■",""),""))</f>
        <v/>
      </c>
      <c r="AO19" s="114" t="str">
        <f>IF(入力!$F$23="","",IF(AND(入力!$F$23&gt;DATE(税率・条件!$C$1+2018-65,計算!AO$3+1,1),入力!$F$23&lt;=DATE(税率・条件!$C$1+2018-40,計算!AO$3+1,1)),IF(OR(AND(入力!L23="",OR(入力!M23="",入力!M23&gt;9,入力!M23&lt;4)),AND(入力!L23=4,OR(入力!M23="",入力!M23&gt;9,入力!M23&lt;4)),AND(入力!L23=5,OR(入力!M23="",入力!M23&gt;9,入力!M23&lt;4)),AND(入力!L23=6,OR(入力!M23="",入力!M23&gt;9,入力!M23&lt;4)),AND(入力!L23=7,OR(入力!M23="",入力!M23&gt;9,入力!M23&lt;4)),AND(入力!L23=8,OR(入力!M23="",入力!M23&gt;9,入力!M23&lt;4)),AND(入力!L23=9,OR(入力!M23="",入力!M23&gt;9,入力!M23&lt;4))),"■",""),""))</f>
        <v/>
      </c>
      <c r="AP19" s="114" t="str">
        <f>IF(入力!$F$23="","",IF(AND(入力!$F$23&gt;DATE(税率・条件!$C$1+2018-65,計算!AP$3+1,1),入力!$F$23&lt;=DATE(税率・条件!$C$1+2018-40,計算!AP$3+1,1)),IF(OR(AND(入力!L23="",OR(入力!M23="",入力!M23&gt;10,入力!M23&lt;4)),AND(入力!L23=4,OR(入力!M23="",入力!M23&gt;10,入力!M23&lt;4)),AND(入力!L23=5,OR(入力!M23="",入力!M23&gt;10,入力!M23&lt;4)),AND(入力!L23=6,OR(入力!M23="",入力!M23&gt;10,入力!M23&lt;4)),AND(入力!L23=7,OR(入力!M23="",入力!M23&gt;10,入力!M23&lt;4)),AND(入力!L23=8,OR(入力!M23="",入力!M23&gt;10,入力!M23&lt;4)),AND(入力!L23=9,OR(入力!M23="",入力!M23&gt;10,入力!M23&lt;4)),AND(入力!L23=10,OR(入力!M23="",入力!M23&gt;10,入力!M23&lt;4))),"■",""),""))</f>
        <v/>
      </c>
      <c r="AQ19" s="114" t="str">
        <f>IF(入力!$F$23="","",IF(AND(入力!$F$23&gt;DATE(税率・条件!$C$1+2018-65,計算!AQ$3+1,1),入力!$F$23&lt;=DATE(税率・条件!$C$1+2018-40,計算!AQ$3+1,1)),IF(OR(AND(入力!L23="",OR(入力!M23="",入力!M23&gt;11,入力!M23&lt;4)),AND(入力!L23=4,OR(入力!M23="",入力!M23&gt;11,入力!M23&lt;4)),AND(入力!L23=5,OR(入力!M23="",入力!M23&gt;11,入力!M23&lt;4)),AND(入力!L23=6,OR(入力!M23="",入力!M23&gt;11,入力!M23&lt;4)),AND(入力!L23=7,OR(入力!M23="",入力!M23&gt;11,入力!M23&lt;4)),AND(入力!L23=8,OR(入力!M23="",入力!M23&gt;11,入力!M23&lt;4)),AND(入力!L23=9,OR(入力!M23="",入力!M23&gt;11,入力!M23&lt;4)),AND(入力!L23=10,OR(入力!M23="",入力!M23&gt;11,入力!M23&lt;4)),AND(入力!L23=11,OR(入力!M23="",入力!M23&gt;11,入力!M23&lt;4))),"■",""),""))</f>
        <v/>
      </c>
      <c r="AR19" s="114" t="str">
        <f>IF(入力!$F$23="","",IF(AND(入力!$F$23&gt;DATE(税率・条件!$C$1+2018-65,計算!AR$3+1,1),入力!$F$23&lt;=DATE(税率・条件!$C$1+2018-40,計算!AR$3+1,1)),IF(OR(AND(入力!L23="",OR(入力!M23="",入力!M23&gt;12,入力!M23&lt;4)),AND(入力!L23=4,OR(入力!M23="",入力!M23&gt;12,入力!M23&lt;4)),AND(入力!L23=5,OR(入力!M23="",入力!M23&gt;12,入力!M23&lt;4)),AND(入力!L23=6,OR(入力!M23="",入力!M23&gt;12,入力!M23&lt;4)),AND(入力!L23=7,OR(入力!M23="",入力!M23&gt;12,入力!M23&lt;4)),AND(入力!L23=8,OR(入力!M23="",入力!M23&gt;12,入力!M23&lt;4)),AND(入力!L23=9,OR(入力!M23="",入力!M23&gt;12,入力!M23&lt;4)),AND(入力!L23=10,OR(入力!M23="",入力!M23&gt;12,入力!M23&lt;4)),AND(入力!L23=11,OR(入力!M23="",入力!M23&gt;12,入力!M23&lt;4)),AND(入力!L23=12,OR(入力!M23="",入力!M23&gt;12,入力!M23&lt;4))),"■",""),""))</f>
        <v/>
      </c>
      <c r="AS19" s="114" t="str">
        <f>IF(入力!$F$23="","",IF(AND(入力!$F$23&gt;DATE(税率・条件!$C$1+2019-65,計算!AS$3+1,1),入力!$F$23&lt;=DATE(税率・条件!$C$1+2019-40,計算!AS$3+1,1)),IF(OR(AND(入力!L23="",OR(入力!M23="",入力!M23=2,入力!M23=3)),AND(入力!L23=4,OR(入力!M23="",入力!M23=2,入力!M23=3)),AND(入力!L23=5,OR(入力!M23="",入力!M23=2,入力!M23=3)),AND(入力!L23=6,OR(入力!M23="",入力!M23=2,入力!M23=3)),AND(入力!L23=7,OR(入力!M23="",入力!M23=2,入力!M23=3)),AND(入力!L23=8,OR(入力!M23="",入力!M23=2,入力!M23=3)),AND(入力!L23=9,OR(入力!M23="",入力!M23=2,入力!M23=3)),AND(入力!L23=10,OR(入力!M23="",入力!M23=2,入力!M23=3)),AND(入力!L23=11,OR(入力!M23="",入力!M23=2,入力!M23=3)),AND(入力!L23=12,OR(入力!M23="",入力!M23=2,入力!M23=3)),AND(入力!L23=1,OR(入力!M23="",入力!M23=2,入力!M23=3))),"■",""),""))</f>
        <v/>
      </c>
      <c r="AT19" s="114" t="str">
        <f>IF(入力!$F$23="","",IF(AND(入力!$F$23&gt;DATE(税率・条件!$C$1+2019-65,計算!AT$3+1,1),入力!$F$23&lt;=DATE(税率・条件!$C$1+2019-40,計算!AT$3+1,1)),IF(OR(AND(入力!L23="",OR(入力!M23="",入力!M23=3)),AND(入力!L23=4,OR(入力!M23="",入力!M23=3)),AND(入力!L23=5,OR(入力!M23="",入力!M23=3)),AND(入力!L23=6,OR(入力!M23="",入力!M23=3)),AND(入力!L23=7,OR(入力!M23="",入力!M23=3)),AND(入力!L23=8,OR(入力!M23="",入力!M23=3)),AND(入力!L23=9,OR(入力!M23="",入力!M23=3)),AND(入力!L23=10,OR(入力!M23="",入力!M23=3)),AND(入力!L23=11,OR(入力!M23="",入力!M23=3)),AND(入力!L23=12,OR(入力!M23="",入力!M23=3)),AND(入力!L23=1,OR(入力!M23="",入力!M23=3)),AND(入力!L23=2,OR(入力!M23="",入力!M23=3))),"■",""),""))</f>
        <v/>
      </c>
      <c r="AU19" s="115" t="str">
        <f>IF(入力!$F$23="","",IF(AND(入力!$F$23&gt;DATE(税率・条件!$C$1+2019-65,計算!AU$3+1,1),入力!$F$23&lt;=DATE(税率・条件!$C$1+2019-40,計算!AU$3+1,1)),IF(OR(AND(入力!L23="",入力!M23=""),AND(入力!L23=4,入力!M23=""),AND(入力!L23=5,入力!M23=""),AND(入力!L23=6,入力!M23=""),AND(入力!L23=7,入力!M23=""),AND(入力!L23=8,入力!M23=""),AND(入力!L23=9,入力!M23=""),AND(入力!L23=10,入力!M23=""),AND(入力!L23=11,入力!M23=""),AND(入力!L23=12,入力!M23=""),AND(入力!L23=1,入力!M23=""),AND(入力!L23=2,入力!M23=""),AND(入力!L23=3,入力!M23="")),"■",""),""))</f>
        <v/>
      </c>
    </row>
    <row r="20" spans="1:66" ht="18.95" customHeight="1" thickTop="1" thickBot="1" x14ac:dyDescent="0.2">
      <c r="A20" s="90"/>
      <c r="B20" s="95"/>
      <c r="C20" s="30"/>
      <c r="D20" s="95"/>
      <c r="E20" s="96"/>
      <c r="F20" s="30"/>
      <c r="G20" s="30"/>
      <c r="H20" s="30"/>
      <c r="I20" s="30"/>
      <c r="J20" s="30"/>
      <c r="K20" s="30"/>
      <c r="L20" s="30"/>
      <c r="M20" s="30"/>
      <c r="N20" s="31">
        <f t="shared" ref="N20:AH20" si="37">SUM(N4:N18)</f>
        <v>0</v>
      </c>
      <c r="O20" s="31">
        <f t="shared" si="37"/>
        <v>0</v>
      </c>
      <c r="P20" s="31">
        <f t="shared" si="37"/>
        <v>0</v>
      </c>
      <c r="Q20" s="31">
        <f>SUM(Q4:Q19)</f>
        <v>0</v>
      </c>
      <c r="R20" s="105">
        <f t="shared" si="37"/>
        <v>0</v>
      </c>
      <c r="S20" s="105"/>
      <c r="T20" s="31">
        <f t="shared" si="37"/>
        <v>0</v>
      </c>
      <c r="U20" s="31">
        <f t="shared" si="37"/>
        <v>0</v>
      </c>
      <c r="V20" s="31">
        <f t="shared" si="37"/>
        <v>0</v>
      </c>
      <c r="W20" s="31">
        <f t="shared" si="37"/>
        <v>0</v>
      </c>
      <c r="X20" s="31">
        <f t="shared" si="37"/>
        <v>0</v>
      </c>
      <c r="Y20" s="31">
        <f t="shared" si="37"/>
        <v>0</v>
      </c>
      <c r="Z20" s="31">
        <f t="shared" si="37"/>
        <v>0</v>
      </c>
      <c r="AA20" s="31">
        <f t="shared" si="37"/>
        <v>0</v>
      </c>
      <c r="AB20" s="31">
        <f t="shared" si="37"/>
        <v>0</v>
      </c>
      <c r="AC20" s="31">
        <f t="shared" si="37"/>
        <v>0</v>
      </c>
      <c r="AD20" s="31">
        <f t="shared" si="37"/>
        <v>0</v>
      </c>
      <c r="AE20" s="31">
        <f t="shared" si="37"/>
        <v>0</v>
      </c>
      <c r="AF20" s="31">
        <f t="shared" si="37"/>
        <v>0</v>
      </c>
      <c r="AG20" s="31">
        <f t="shared" si="37"/>
        <v>0</v>
      </c>
      <c r="AH20" s="31">
        <f t="shared" si="37"/>
        <v>0</v>
      </c>
      <c r="AI20" s="31">
        <f>SUM(AJ20:AU20)</f>
        <v>0</v>
      </c>
      <c r="AJ20" s="30" t="str">
        <f t="shared" ref="AJ20:AU20" si="38">IF(COUNTIF(AJ4:AJ19,"●")&gt;0,1,"")</f>
        <v/>
      </c>
      <c r="AK20" s="30" t="str">
        <f t="shared" si="38"/>
        <v/>
      </c>
      <c r="AL20" s="30" t="str">
        <f t="shared" si="38"/>
        <v/>
      </c>
      <c r="AM20" s="30" t="str">
        <f t="shared" si="38"/>
        <v/>
      </c>
      <c r="AN20" s="30" t="str">
        <f t="shared" si="38"/>
        <v/>
      </c>
      <c r="AO20" s="30" t="str">
        <f t="shared" si="38"/>
        <v/>
      </c>
      <c r="AP20" s="30" t="str">
        <f t="shared" si="38"/>
        <v/>
      </c>
      <c r="AQ20" s="30" t="str">
        <f t="shared" si="38"/>
        <v/>
      </c>
      <c r="AR20" s="30" t="str">
        <f t="shared" si="38"/>
        <v/>
      </c>
      <c r="AS20" s="30" t="str">
        <f t="shared" si="38"/>
        <v/>
      </c>
      <c r="AT20" s="30" t="str">
        <f t="shared" si="38"/>
        <v/>
      </c>
      <c r="AU20" s="30" t="str">
        <f t="shared" si="38"/>
        <v/>
      </c>
      <c r="AW20" s="116" t="str">
        <f>IF(AJ20=1,AJ3,IF(AK20=1,AK3,IF(AL20=1,AL3,IF(AM20=1,AM3,IF(AN20=1,AN3,IF(AO20=1,AO3,IF(AP20=1,AP3,IF(AQ20=1,AQ3,IF(AR20=1,AR3,IF(AS20=1,AS3,IF(AT20=1,AT3,IF(AU20=1,AU3,""))))))))))))</f>
        <v/>
      </c>
      <c r="AY20" s="1" t="s">
        <v>188</v>
      </c>
    </row>
    <row r="21" spans="1:66" ht="18.95" customHeight="1" x14ac:dyDescent="0.15">
      <c r="A21" s="78"/>
      <c r="B21" s="97"/>
      <c r="C21" s="30"/>
      <c r="D21" s="97"/>
      <c r="E21" s="97"/>
      <c r="F21" s="30"/>
      <c r="G21" s="30"/>
      <c r="H21" s="30"/>
      <c r="I21" s="30"/>
      <c r="J21" s="30"/>
      <c r="K21" s="30"/>
      <c r="L21" s="30"/>
      <c r="M21" s="30"/>
      <c r="N21" s="30"/>
      <c r="O21" s="30"/>
      <c r="P21" s="30"/>
      <c r="Q21" s="30"/>
      <c r="R21" s="30"/>
      <c r="S21" s="30"/>
      <c r="T21" s="30"/>
      <c r="U21" s="30"/>
      <c r="V21" s="30"/>
      <c r="W21" s="98"/>
      <c r="X21" s="47"/>
      <c r="Y21" s="30"/>
      <c r="Z21" s="30"/>
      <c r="AA21" s="30"/>
      <c r="AB21" s="30"/>
      <c r="AC21" s="47"/>
      <c r="AD21" s="30"/>
      <c r="AE21" s="30"/>
      <c r="AF21" s="30"/>
      <c r="AG21" s="30"/>
      <c r="AH21" s="47"/>
      <c r="AI21" s="31">
        <f>SUM(AJ21:AU21)</f>
        <v>0</v>
      </c>
      <c r="AJ21" s="91" t="str">
        <f t="shared" ref="AJ21:AU21" si="39">IF(COUNTIF(AJ4:AJ19,"■")&gt;0,1,"")</f>
        <v/>
      </c>
      <c r="AK21" s="91" t="str">
        <f t="shared" si="39"/>
        <v/>
      </c>
      <c r="AL21" s="91" t="str">
        <f t="shared" si="39"/>
        <v/>
      </c>
      <c r="AM21" s="91" t="str">
        <f t="shared" si="39"/>
        <v/>
      </c>
      <c r="AN21" s="91" t="str">
        <f t="shared" si="39"/>
        <v/>
      </c>
      <c r="AO21" s="91" t="str">
        <f t="shared" si="39"/>
        <v/>
      </c>
      <c r="AP21" s="91" t="str">
        <f t="shared" si="39"/>
        <v/>
      </c>
      <c r="AQ21" s="91" t="str">
        <f t="shared" si="39"/>
        <v/>
      </c>
      <c r="AR21" s="91" t="str">
        <f t="shared" si="39"/>
        <v/>
      </c>
      <c r="AS21" s="91" t="str">
        <f t="shared" si="39"/>
        <v/>
      </c>
      <c r="AT21" s="91" t="str">
        <f t="shared" si="39"/>
        <v/>
      </c>
      <c r="AU21" s="91" t="str">
        <f t="shared" si="39"/>
        <v/>
      </c>
      <c r="AY21" s="178" t="s">
        <v>172</v>
      </c>
      <c r="AZ21" s="179">
        <f>IF(AZ8&gt;ROUND(税率・条件!$C$8/12,2),ROUND(税率・条件!$C$8/12,2)-SUM(AZ22:AZ24),AZ4)</f>
        <v>0</v>
      </c>
      <c r="BA21" s="179">
        <f>IF(BA8&gt;ROUNDDOWN(税率・条件!$C$8/12,2),ROUNDDOWN(税率・条件!$C$8/12,2)-SUM(BA22:BA24),BA4)</f>
        <v>0</v>
      </c>
      <c r="BB21" s="179">
        <f>IF(BB8&gt;ROUNDDOWN(税率・条件!$C$8/12,2),ROUNDDOWN(税率・条件!$C$8/12,2)-SUM(BB22:BB24),BB4)</f>
        <v>0</v>
      </c>
      <c r="BC21" s="179">
        <f>IF(BC8&gt;ROUNDDOWN(税率・条件!$C$8/12,2),ROUNDDOWN(税率・条件!$C$8/12,2)-SUM(BC22:BC24),BC4)</f>
        <v>0</v>
      </c>
      <c r="BD21" s="179">
        <f>IF(BD8&gt;ROUNDDOWN(税率・条件!$C$8/12,2),ROUNDDOWN(税率・条件!$C$8/12,2)-SUM(BD22:BD24),BD4)</f>
        <v>0</v>
      </c>
      <c r="BE21" s="179">
        <f>IF(BE8&gt;ROUNDDOWN(税率・条件!$C$8/12,2),ROUNDDOWN(税率・条件!$C$8/12,2)-SUM(BE22:BE24),BE4)</f>
        <v>0</v>
      </c>
      <c r="BF21" s="179">
        <f>IF(BF8&gt;ROUNDDOWN(税率・条件!$C$8/12,2),ROUNDDOWN(税率・条件!$C$8/12,2)-SUM(BF22:BF24),BF4)</f>
        <v>0</v>
      </c>
      <c r="BG21" s="179">
        <f>IF(BG8&gt;ROUNDDOWN(税率・条件!$C$8/12,2),ROUNDDOWN(税率・条件!$C$8/12,2)-SUM(BG22:BG24),BG4)</f>
        <v>0</v>
      </c>
      <c r="BH21" s="179">
        <f>IF(BH8&gt;ROUNDDOWN(税率・条件!$C$8/12,2),ROUNDDOWN(税率・条件!$C$8/12,2)-SUM(BH22:BH24),BH4)</f>
        <v>0</v>
      </c>
      <c r="BI21" s="179">
        <f>IF(BI8&gt;ROUNDDOWN(税率・条件!$C$8/12,2),ROUNDDOWN(税率・条件!$C$8/12,2)-SUM(BI22:BI24),BI4)</f>
        <v>0</v>
      </c>
      <c r="BJ21" s="179">
        <f>IF(BJ8&gt;ROUNDDOWN(税率・条件!$C$8/12,2),ROUNDDOWN(税率・条件!$C$8/12,2)-SUM(BJ22:BJ24),BJ4)</f>
        <v>0</v>
      </c>
      <c r="BK21" s="179">
        <f>IF(BK8&gt;ROUNDDOWN(税率・条件!$C$8/12,2),ROUNDDOWN(税率・条件!$C$8/12,2)-SUM(BK22:BK24),BK4)</f>
        <v>0</v>
      </c>
      <c r="BL21" s="191">
        <f>SUM(AZ21:BK21)</f>
        <v>0</v>
      </c>
      <c r="BM21" s="210">
        <f t="shared" ref="BM21:BM34" si="40">ROUND(BL21,0)</f>
        <v>0</v>
      </c>
      <c r="BN21" s="209"/>
    </row>
    <row r="22" spans="1:66" ht="18.95" customHeight="1" x14ac:dyDescent="0.15">
      <c r="AI22" s="144" t="s">
        <v>146</v>
      </c>
      <c r="AJ22" s="1" t="str">
        <f>IF(COUNTIF(AJ4:AJ19,"●")&gt;0,COUNTIF(AJ4:AJ19,"●"),"")</f>
        <v/>
      </c>
      <c r="AK22" s="1" t="str">
        <f t="shared" ref="AK22:AU22" si="41">IF(COUNTIF(AK4:AK19,"●")&gt;0,COUNTIF(AK4:AK19,"●"),"")</f>
        <v/>
      </c>
      <c r="AL22" s="1" t="str">
        <f t="shared" si="41"/>
        <v/>
      </c>
      <c r="AM22" s="1" t="str">
        <f t="shared" si="41"/>
        <v/>
      </c>
      <c r="AN22" s="1" t="str">
        <f t="shared" si="41"/>
        <v/>
      </c>
      <c r="AO22" s="1" t="str">
        <f t="shared" si="41"/>
        <v/>
      </c>
      <c r="AP22" s="1" t="str">
        <f t="shared" si="41"/>
        <v/>
      </c>
      <c r="AQ22" s="1" t="str">
        <f t="shared" si="41"/>
        <v/>
      </c>
      <c r="AR22" s="1" t="str">
        <f t="shared" si="41"/>
        <v/>
      </c>
      <c r="AS22" s="1" t="str">
        <f t="shared" si="41"/>
        <v/>
      </c>
      <c r="AT22" s="1" t="str">
        <f t="shared" si="41"/>
        <v/>
      </c>
      <c r="AU22" s="1" t="str">
        <f t="shared" si="41"/>
        <v/>
      </c>
      <c r="AW22" s="142" t="str">
        <f>IF(AJ20=1,AJ22,IF(AK20=1,AK22,IF(AL20=1,AL22,IF(AM20=1,AM22,IF(AN20=1,AN22,IF(AO20=1,AO22,IF(AP20=1,AP22,IF(AQ20=1,AQ22,IF(AR20=1,AR22,IF(AS20=1,AS22,IF(AT20=1,AT22,IF(AU20=1,AU22,""))))))))))))</f>
        <v/>
      </c>
      <c r="AY22" s="180" t="s">
        <v>173</v>
      </c>
      <c r="AZ22" s="183">
        <f>IF(AZ8&gt;ROUND(税率・条件!$C$8/12,2),ROUND(((ROUND(税率・条件!$C$8/12,2))-SUM(AZ23:AZ24))/(AZ8-SUM(AZ6:AZ7))*AZ5,2),AZ5)</f>
        <v>0</v>
      </c>
      <c r="BA22" s="183">
        <f>IF(BA8&gt;ROUNDDOWN(税率・条件!$C$8/12,2),ROUNDDOWN(((ROUNDDOWN(税率・条件!$C$8/12,2))-SUM(BA23:BA24))/(BA8-SUM(BA6:BA7))*BA5,2),BA5)</f>
        <v>0</v>
      </c>
      <c r="BB22" s="183">
        <f>IF(BB8&gt;ROUNDDOWN(税率・条件!$C$8/12,2),ROUNDDOWN(((ROUNDDOWN(税率・条件!$C$8/12,2))-SUM(BB23:BB24))/(BB8-SUM(BB6:BB7))*BB5,2),BB5)</f>
        <v>0</v>
      </c>
      <c r="BC22" s="183">
        <f>IF(BC8&gt;ROUNDDOWN(税率・条件!$C$8/12,2),ROUNDDOWN(((ROUNDDOWN(税率・条件!$C$8/12,2))-SUM(BC23:BC24))/(BC8-SUM(BC6:BC7))*BC5,2),BC5)</f>
        <v>0</v>
      </c>
      <c r="BD22" s="183">
        <f>IF(BD8&gt;ROUNDDOWN(税率・条件!$C$8/12,2),ROUNDDOWN(((ROUNDDOWN(税率・条件!$C$8/12,2))-SUM(BD23:BD24))/(BD8-SUM(BD6:BD7))*BD5,2),BD5)</f>
        <v>0</v>
      </c>
      <c r="BE22" s="183">
        <f>IF(BE8&gt;ROUNDDOWN(税率・条件!$C$8/12,2),ROUNDDOWN(((ROUNDDOWN(税率・条件!$C$8/12,2))-SUM(BE23:BE24))/(BE8-SUM(BE6:BE7))*BE5,2),BE5)</f>
        <v>0</v>
      </c>
      <c r="BF22" s="183">
        <f>IF(BF8&gt;ROUNDDOWN(税率・条件!$C$8/12,2),ROUNDDOWN(((ROUNDDOWN(税率・条件!$C$8/12,2))-SUM(BF23:BF24))/(BF8-SUM(BF6:BF7))*BF5,2),BF5)</f>
        <v>0</v>
      </c>
      <c r="BG22" s="183">
        <f>IF(BG8&gt;ROUNDDOWN(税率・条件!$C$8/12,2),ROUNDDOWN(((ROUNDDOWN(税率・条件!$C$8/12,2))-SUM(BG23:BG24))/(BG8-SUM(BG6:BG7))*BG5,2),BG5)</f>
        <v>0</v>
      </c>
      <c r="BH22" s="183">
        <f>IF(BH8&gt;ROUNDDOWN(税率・条件!$C$8/12,2),ROUNDDOWN(((ROUNDDOWN(税率・条件!$C$8/12,2))-SUM(BH23:BH24))/(BH8-SUM(BH6:BH7))*BH5,2),BH5)</f>
        <v>0</v>
      </c>
      <c r="BI22" s="183">
        <f>IF(BI8&gt;ROUNDDOWN(税率・条件!$C$8/12,2),ROUNDDOWN(((ROUNDDOWN(税率・条件!$C$8/12,2))-SUM(BI23:BI24))/(BI8-SUM(BI6:BI7))*BI5,2),BI5)</f>
        <v>0</v>
      </c>
      <c r="BJ22" s="183">
        <f>IF(BJ8&gt;ROUNDDOWN(税率・条件!$C$8/12,2),ROUNDDOWN(((ROUNDDOWN(税率・条件!$C$8/12,2))-SUM(BJ23:BJ24))/(BJ8-SUM(BJ6:BJ7))*BJ5,2),BJ5)</f>
        <v>0</v>
      </c>
      <c r="BK22" s="183">
        <f>IF(BK8&gt;ROUNDDOWN(税率・条件!$C$8/12,2),ROUNDDOWN(((ROUNDDOWN(税率・条件!$C$8/12,2))-SUM(BK23:BK24))/(BK8-SUM(BK6:BK7))*BK5,2),BK5)</f>
        <v>0</v>
      </c>
      <c r="BL22" s="192">
        <f t="shared" ref="BL22:BL24" si="42">SUM(AZ22:BK22)</f>
        <v>0</v>
      </c>
      <c r="BM22" s="193">
        <f t="shared" si="40"/>
        <v>0</v>
      </c>
    </row>
    <row r="23" spans="1:66" ht="18.95" customHeight="1" thickBot="1" x14ac:dyDescent="0.2">
      <c r="B23" s="1" t="s">
        <v>19</v>
      </c>
      <c r="L23" s="164" t="s">
        <v>43</v>
      </c>
      <c r="P23" s="164" t="str">
        <f>"令和"&amp;DBCS(税率・条件!C1)&amp;"年度　年税額"</f>
        <v>令和６年度　年税額</v>
      </c>
      <c r="X23" s="164" t="str">
        <f>"各個人保険税額計（令和"&amp;DBCS(税率・条件!C1)&amp;"年度税率&amp;月割税額）"</f>
        <v>各個人保険税額計（令和６年度税率&amp;月割税額）</v>
      </c>
      <c r="AY23" s="180" t="s">
        <v>174</v>
      </c>
      <c r="AZ23" s="183">
        <f>AZ6</f>
        <v>0</v>
      </c>
      <c r="BA23" s="183">
        <f t="shared" ref="BA23:BK23" si="43">BA6</f>
        <v>0</v>
      </c>
      <c r="BB23" s="183">
        <f t="shared" si="43"/>
        <v>0</v>
      </c>
      <c r="BC23" s="183">
        <f t="shared" si="43"/>
        <v>0</v>
      </c>
      <c r="BD23" s="183">
        <f t="shared" si="43"/>
        <v>0</v>
      </c>
      <c r="BE23" s="183">
        <f t="shared" si="43"/>
        <v>0</v>
      </c>
      <c r="BF23" s="183">
        <f t="shared" si="43"/>
        <v>0</v>
      </c>
      <c r="BG23" s="183">
        <f t="shared" si="43"/>
        <v>0</v>
      </c>
      <c r="BH23" s="183">
        <f t="shared" si="43"/>
        <v>0</v>
      </c>
      <c r="BI23" s="183">
        <f t="shared" si="43"/>
        <v>0</v>
      </c>
      <c r="BJ23" s="183">
        <f t="shared" si="43"/>
        <v>0</v>
      </c>
      <c r="BK23" s="183">
        <f t="shared" si="43"/>
        <v>0</v>
      </c>
      <c r="BL23" s="192">
        <f t="shared" si="42"/>
        <v>0</v>
      </c>
      <c r="BM23" s="193">
        <f>BM25-BM21-BM22-BM24</f>
        <v>0</v>
      </c>
      <c r="BN23" s="209" t="str">
        <f>IF(ROUND(BL23,0)=BM23,"","←調整後数値")</f>
        <v/>
      </c>
    </row>
    <row r="24" spans="1:66" ht="18.95" customHeight="1" thickTop="1" x14ac:dyDescent="0.15">
      <c r="B24" s="46" t="s">
        <v>18</v>
      </c>
      <c r="C24" s="46">
        <f>X26</f>
        <v>1</v>
      </c>
      <c r="D24" s="71" t="str">
        <f>X27</f>
        <v>２</v>
      </c>
      <c r="E24" s="71" t="str">
        <f>X28</f>
        <v>３</v>
      </c>
      <c r="F24" s="71" t="str">
        <f>X29</f>
        <v>４</v>
      </c>
      <c r="G24" s="71" t="str">
        <f>X30</f>
        <v>５</v>
      </c>
      <c r="H24" s="71" t="str">
        <f>X31</f>
        <v>６</v>
      </c>
      <c r="I24" s="71" t="str">
        <f>X32</f>
        <v>７</v>
      </c>
      <c r="J24" s="71" t="str">
        <f>X33</f>
        <v>８</v>
      </c>
      <c r="L24" s="165" t="s">
        <v>101</v>
      </c>
      <c r="M24" s="166">
        <f>COUNT(Q4:Q19)</f>
        <v>0</v>
      </c>
      <c r="P24" s="374" t="s">
        <v>4</v>
      </c>
      <c r="Q24" s="159" t="s">
        <v>24</v>
      </c>
      <c r="R24" s="285">
        <f>BM21</f>
        <v>0</v>
      </c>
      <c r="S24" s="286"/>
      <c r="T24" s="287"/>
      <c r="U24" s="207" t="str">
        <f>IF(AND(R24&gt;0,COUNTIF($Z$50:$AQ$50,"該当")&gt;0),"月割限度。調整前:"&amp;TEXT(ROUND(BM4,0),"#,##0"&amp;"円"),"")</f>
        <v/>
      </c>
      <c r="X24" s="380"/>
      <c r="Y24" s="382" t="s">
        <v>56</v>
      </c>
      <c r="Z24" s="300" t="s">
        <v>55</v>
      </c>
      <c r="AA24" s="301"/>
      <c r="AB24" s="301"/>
      <c r="AC24" s="301"/>
      <c r="AD24" s="302"/>
      <c r="AY24" s="180" t="s">
        <v>175</v>
      </c>
      <c r="AZ24" s="183">
        <f>AZ7</f>
        <v>0</v>
      </c>
      <c r="BA24" s="183">
        <f t="shared" ref="BA24:BK24" si="44">BA7</f>
        <v>0</v>
      </c>
      <c r="BB24" s="183">
        <f t="shared" si="44"/>
        <v>0</v>
      </c>
      <c r="BC24" s="183">
        <f t="shared" si="44"/>
        <v>0</v>
      </c>
      <c r="BD24" s="183">
        <f t="shared" si="44"/>
        <v>0</v>
      </c>
      <c r="BE24" s="183">
        <f t="shared" si="44"/>
        <v>0</v>
      </c>
      <c r="BF24" s="183">
        <f t="shared" si="44"/>
        <v>0</v>
      </c>
      <c r="BG24" s="183">
        <f t="shared" si="44"/>
        <v>0</v>
      </c>
      <c r="BH24" s="183">
        <f t="shared" si="44"/>
        <v>0</v>
      </c>
      <c r="BI24" s="183">
        <f t="shared" si="44"/>
        <v>0</v>
      </c>
      <c r="BJ24" s="183">
        <f t="shared" si="44"/>
        <v>0</v>
      </c>
      <c r="BK24" s="183">
        <f t="shared" si="44"/>
        <v>0</v>
      </c>
      <c r="BL24" s="192">
        <f t="shared" si="42"/>
        <v>0</v>
      </c>
      <c r="BM24" s="193">
        <f t="shared" si="40"/>
        <v>0</v>
      </c>
    </row>
    <row r="25" spans="1:66" ht="18.95" customHeight="1" thickBot="1" x14ac:dyDescent="0.2">
      <c r="B25" s="29">
        <v>1</v>
      </c>
      <c r="C25" s="72" t="str">
        <f>IF(AND(入力!G16&gt;=B25,入力!G16&lt;B26),0,"")</f>
        <v/>
      </c>
      <c r="D25" s="72" t="str">
        <f>IF(AND(入力!G17&gt;=B25,入力!G17&lt;B26),0,"")</f>
        <v/>
      </c>
      <c r="E25" s="72" t="str">
        <f>IF(AND(入力!G18&gt;=B25,入力!G18&lt;B26),0,"")</f>
        <v/>
      </c>
      <c r="F25" s="72" t="str">
        <f>IF(AND(入力!G19&gt;=B25,入力!G19&lt;B26),0,"")</f>
        <v/>
      </c>
      <c r="G25" s="72" t="str">
        <f>IF(AND(入力!G20&gt;=B25,入力!G20&lt;B26),0,"")</f>
        <v/>
      </c>
      <c r="H25" s="72" t="str">
        <f>IF(AND(入力!G21&gt;=B25,入力!G21&lt;B26),0,"")</f>
        <v/>
      </c>
      <c r="I25" s="72" t="str">
        <f>IF(AND(入力!G22&gt;=B25,入力!G22&lt;B26),0,"")</f>
        <v/>
      </c>
      <c r="J25" s="72" t="str">
        <f>IF(AND(入力!G23&gt;=B25,入力!G23&lt;B26),0,"")</f>
        <v/>
      </c>
      <c r="L25" s="165" t="s">
        <v>98</v>
      </c>
      <c r="M25" s="166">
        <f>IF(AW22="",0,AW22)</f>
        <v>0</v>
      </c>
      <c r="P25" s="375"/>
      <c r="Q25" s="160" t="s">
        <v>25</v>
      </c>
      <c r="R25" s="288">
        <f t="shared" ref="R25:R27" si="45">BM22</f>
        <v>0</v>
      </c>
      <c r="S25" s="289"/>
      <c r="T25" s="290"/>
      <c r="U25" s="207" t="str">
        <f>IF(AND(R25&gt;0,COUNTIF($Z$50:$AQ$50,"該当")&gt;0),"月割限度。調整前:"&amp;TEXT(ROUND(BM5,0),"#,##0"&amp;"円"),"")</f>
        <v/>
      </c>
      <c r="X25" s="381"/>
      <c r="Y25" s="383"/>
      <c r="Z25" s="44" t="s">
        <v>53</v>
      </c>
      <c r="AA25" s="45" t="s">
        <v>54</v>
      </c>
      <c r="AB25" s="45" t="s">
        <v>30</v>
      </c>
      <c r="AC25" s="385" t="s">
        <v>36</v>
      </c>
      <c r="AD25" s="386"/>
      <c r="AY25" s="181" t="s">
        <v>186</v>
      </c>
      <c r="AZ25" s="189">
        <f>SUM(AZ21:AZ24)</f>
        <v>0</v>
      </c>
      <c r="BA25" s="189">
        <f t="shared" ref="BA25:BK25" si="46">SUM(BA21:BA24)</f>
        <v>0</v>
      </c>
      <c r="BB25" s="189">
        <f t="shared" si="46"/>
        <v>0</v>
      </c>
      <c r="BC25" s="189">
        <f t="shared" si="46"/>
        <v>0</v>
      </c>
      <c r="BD25" s="189">
        <f t="shared" si="46"/>
        <v>0</v>
      </c>
      <c r="BE25" s="189">
        <f t="shared" si="46"/>
        <v>0</v>
      </c>
      <c r="BF25" s="189">
        <f t="shared" si="46"/>
        <v>0</v>
      </c>
      <c r="BG25" s="189">
        <f t="shared" si="46"/>
        <v>0</v>
      </c>
      <c r="BH25" s="189">
        <f t="shared" si="46"/>
        <v>0</v>
      </c>
      <c r="BI25" s="189">
        <f t="shared" si="46"/>
        <v>0</v>
      </c>
      <c r="BJ25" s="189">
        <f t="shared" si="46"/>
        <v>0</v>
      </c>
      <c r="BK25" s="189">
        <f t="shared" si="46"/>
        <v>0</v>
      </c>
      <c r="BL25" s="185">
        <f>SUM(AZ25:BK25)</f>
        <v>0</v>
      </c>
      <c r="BM25" s="194">
        <f>ROUND(BL25,0)</f>
        <v>0</v>
      </c>
    </row>
    <row r="26" spans="1:66" ht="18.95" customHeight="1" x14ac:dyDescent="0.15">
      <c r="B26" s="29">
        <v>551000</v>
      </c>
      <c r="C26" s="72" t="str">
        <f>IF(AND(入力!G16&gt;=B26,入力!G16&lt;B27),入力!G16-550000,"")</f>
        <v/>
      </c>
      <c r="D26" s="72" t="str">
        <f>IF(AND(入力!G17&gt;=B26,入力!G17&lt;B27),入力!G17-550000,"")</f>
        <v/>
      </c>
      <c r="E26" s="72" t="str">
        <f>IF(AND(入力!G18&gt;=B26,入力!G18&lt;B27),入力!G18-550000,"")</f>
        <v/>
      </c>
      <c r="F26" s="72" t="str">
        <f>IF(AND(入力!G19&gt;=B26,入力!G19&lt;B27),入力!G19-550000,"")</f>
        <v/>
      </c>
      <c r="G26" s="72" t="str">
        <f>IF(AND(入力!G20&gt;=B26,入力!G20&lt;B27),入力!G20-550000,"")</f>
        <v/>
      </c>
      <c r="H26" s="72" t="str">
        <f>IF(AND(入力!G21&gt;=B26,入力!G21&lt;B27),入力!G21-550000,"")</f>
        <v/>
      </c>
      <c r="I26" s="72" t="str">
        <f>IF(AND(入力!G22&gt;=B26,入力!G22&lt;B27),入力!G22-550000,"")</f>
        <v/>
      </c>
      <c r="J26" s="72" t="str">
        <f>IF(AND(入力!G23&gt;=B26,入力!G23&lt;B27),入力!G23-550000,"")</f>
        <v/>
      </c>
      <c r="L26" s="165" t="s">
        <v>97</v>
      </c>
      <c r="M26" s="167">
        <f>COUNT(R4:R19)</f>
        <v>0</v>
      </c>
      <c r="P26" s="375"/>
      <c r="Q26" s="160" t="s">
        <v>26</v>
      </c>
      <c r="R26" s="288">
        <f t="shared" si="45"/>
        <v>0</v>
      </c>
      <c r="S26" s="289"/>
      <c r="T26" s="290"/>
      <c r="X26" s="34">
        <f>入力!E16</f>
        <v>1</v>
      </c>
      <c r="Y26" s="35" t="str">
        <f>IF(B4="","",B4)</f>
        <v/>
      </c>
      <c r="Z26" s="36" t="str">
        <f>IF(AR41="","",AR41)</f>
        <v/>
      </c>
      <c r="AA26" s="37" t="str">
        <f t="shared" ref="AA26" si="47">IF(AR55="","",AR55)</f>
        <v/>
      </c>
      <c r="AB26" s="37" t="str">
        <f t="shared" ref="AB26" si="48">IF(AR69="","",AR69)</f>
        <v/>
      </c>
      <c r="AC26" s="303" t="str">
        <f>IF(SUM(Z26:AB26)&gt;0,SUM(Z26:AB26),"")</f>
        <v/>
      </c>
      <c r="AD26" s="304"/>
      <c r="AF26" s="1" t="s">
        <v>57</v>
      </c>
      <c r="AY26" s="178" t="s">
        <v>176</v>
      </c>
      <c r="AZ26" s="179">
        <f>IF(AZ13&gt;ROUNDDOWN(税率・条件!$C$13/12,2),ROUNDDOWN(税率・条件!$C$13/12,2)-SUM(AZ27:AZ29),AZ9)</f>
        <v>0</v>
      </c>
      <c r="BA26" s="179">
        <f>IF(BA13&gt;ROUNDDOWN(税率・条件!$C$13/12,2),ROUNDDOWN(税率・条件!$C$13/12,2)-SUM(BA27:BA29),BA9)</f>
        <v>0</v>
      </c>
      <c r="BB26" s="179">
        <f>IF(BB13&gt;ROUNDDOWN(税率・条件!$C$13/12,2),ROUNDDOWN(税率・条件!$C$13/12,2)-SUM(BB27:BB29),BB9)</f>
        <v>0</v>
      </c>
      <c r="BC26" s="179">
        <f>IF(BC13&gt;ROUNDDOWN(税率・条件!$C$13/12,2),ROUNDDOWN(税率・条件!$C$13/12,2)-SUM(BC27:BC29),BC9)</f>
        <v>0</v>
      </c>
      <c r="BD26" s="179">
        <f>IF(BD13&gt;ROUNDDOWN(税率・条件!$C$13/12,2),ROUNDDOWN(税率・条件!$C$13/12,2)-SUM(BD27:BD29),BD9)</f>
        <v>0</v>
      </c>
      <c r="BE26" s="179">
        <f>IF(BE13&gt;ROUNDDOWN(税率・条件!$C$13/12,2),ROUNDDOWN(税率・条件!$C$13/12,2)-SUM(BE27:BE29),BE9)</f>
        <v>0</v>
      </c>
      <c r="BF26" s="179">
        <f>IF(BF13&gt;ROUNDDOWN(税率・条件!$C$13/12,2),ROUNDDOWN(税率・条件!$C$13/12,2)-SUM(BF27:BF29),BF9)</f>
        <v>0</v>
      </c>
      <c r="BG26" s="179">
        <f>IF(BG13&gt;ROUNDDOWN(税率・条件!$C$13/12,2),ROUNDDOWN(税率・条件!$C$13/12,2)-SUM(BG27:BG29),BG9)</f>
        <v>0</v>
      </c>
      <c r="BH26" s="179">
        <f>IF(BH13&gt;ROUNDDOWN(税率・条件!$C$13/12,2),ROUNDDOWN(税率・条件!$C$13/12,2)-SUM(BH27:BH29),BH9)</f>
        <v>0</v>
      </c>
      <c r="BI26" s="179">
        <f>IF(BI13&gt;ROUNDDOWN(税率・条件!$C$13/12,2),ROUNDDOWN(税率・条件!$C$13/12,2)-SUM(BI27:BI29),BI9)</f>
        <v>0</v>
      </c>
      <c r="BJ26" s="179">
        <f>IF(BJ13&gt;ROUNDDOWN(税率・条件!$C$13/12,2),ROUNDDOWN(税率・条件!$C$13/12,2)-SUM(BJ27:BJ29),BJ9)</f>
        <v>0</v>
      </c>
      <c r="BK26" s="179">
        <f>IF(BK13&gt;ROUNDDOWN(税率・条件!$C$13/12,2),ROUNDDOWN(税率・条件!$C$13/12,2)-SUM(BK27:BK29),BK9)</f>
        <v>0</v>
      </c>
      <c r="BL26" s="191">
        <f t="shared" ref="BL26:BL29" si="49">SUM(AZ26:BK26)</f>
        <v>0</v>
      </c>
      <c r="BM26" s="210">
        <f t="shared" si="40"/>
        <v>0</v>
      </c>
      <c r="BN26" s="209"/>
    </row>
    <row r="27" spans="1:66" ht="18.95" customHeight="1" x14ac:dyDescent="0.15">
      <c r="B27" s="29">
        <v>1619000</v>
      </c>
      <c r="C27" s="72" t="str">
        <f>IF(AND(入力!G16&gt;=B27,入力!G16&lt;B28),1069000,"")</f>
        <v/>
      </c>
      <c r="D27" s="72" t="str">
        <f>IF(AND(入力!G17&gt;=B27,入力!G17&lt;B28),1069000,"")</f>
        <v/>
      </c>
      <c r="E27" s="72" t="str">
        <f>IF(AND(入力!G18&gt;=B27,入力!G18&lt;B28),1069000,"")</f>
        <v/>
      </c>
      <c r="F27" s="72" t="str">
        <f>IF(AND(入力!G19&gt;=B27,入力!G19&lt;B28),1069000,"")</f>
        <v/>
      </c>
      <c r="G27" s="72" t="str">
        <f>IF(AND(入力!G20&gt;=B27,入力!G20&lt;B28),1069000,"")</f>
        <v/>
      </c>
      <c r="H27" s="72" t="str">
        <f>IF(AND(入力!G21&gt;=B27,入力!G21&lt;B28),1069000,"")</f>
        <v/>
      </c>
      <c r="I27" s="72" t="str">
        <f>IF(AND(入力!G22&gt;=B27,入力!G22&lt;B28),1069000,"")</f>
        <v/>
      </c>
      <c r="J27" s="72" t="str">
        <f>IF(AND(入力!G23&gt;=B27,入力!G23&lt;B28),1069000,"")</f>
        <v/>
      </c>
      <c r="L27" s="165" t="s">
        <v>63</v>
      </c>
      <c r="M27" s="168" t="str">
        <f>IF(M25=0,"",税率・条件!F5+IF(R20=0,0,(R20-1)*100000))</f>
        <v/>
      </c>
      <c r="O27" s="27"/>
      <c r="P27" s="375"/>
      <c r="Q27" s="160" t="s">
        <v>27</v>
      </c>
      <c r="R27" s="288">
        <f t="shared" si="45"/>
        <v>0</v>
      </c>
      <c r="S27" s="289"/>
      <c r="T27" s="290"/>
      <c r="X27" s="38" t="str">
        <f>入力!E17</f>
        <v>２</v>
      </c>
      <c r="Y27" s="39" t="str">
        <f>IF(B6="","",B6)</f>
        <v/>
      </c>
      <c r="Z27" s="36" t="str">
        <f t="shared" ref="Z27:Z33" si="50">IF(AR42="","",AR42)</f>
        <v/>
      </c>
      <c r="AA27" s="37" t="str">
        <f t="shared" ref="AA27:AA33" si="51">IF(AR56="","",AR56)</f>
        <v/>
      </c>
      <c r="AB27" s="37" t="str">
        <f t="shared" ref="AB27:AB33" si="52">IF(AR70="","",AR70)</f>
        <v/>
      </c>
      <c r="AC27" s="303" t="str">
        <f t="shared" ref="AC27:AC33" si="53">IF(SUM(Z27:AB27)&gt;0,SUM(Z27:AB27),"")</f>
        <v/>
      </c>
      <c r="AD27" s="304"/>
      <c r="AF27" s="1" t="s">
        <v>58</v>
      </c>
      <c r="AY27" s="180" t="s">
        <v>177</v>
      </c>
      <c r="AZ27" s="190">
        <f>IF(AZ13&gt;ROUNDDOWN(税率・条件!$C$13/12,2),ROUNDDOWN(((ROUNDDOWN(税率・条件!$C$13/12,2))-SUM(AZ28:AZ29))/(AZ13-SUM(AZ11:AZ12))*AZ10,2),AZ10)</f>
        <v>0</v>
      </c>
      <c r="BA27" s="190">
        <f>IF(BA13&gt;ROUNDDOWN(税率・条件!$C$13/12,2),ROUNDDOWN(((ROUNDDOWN(税率・条件!$C$13/12,2))-SUM(BA28:BA29))/(BA13-SUM(BA11:BA12))*BA10,2),BA10)</f>
        <v>0</v>
      </c>
      <c r="BB27" s="190">
        <f>IF(BB13&gt;ROUNDDOWN(税率・条件!$C$13/12,2),ROUNDDOWN(((ROUNDDOWN(税率・条件!$C$13/12,2))-SUM(BB28:BB29))/(BB13-SUM(BB11:BB12))*BB10,2),BB10)</f>
        <v>0</v>
      </c>
      <c r="BC27" s="190">
        <f>IF(BC13&gt;ROUNDDOWN(税率・条件!$C$13/12,2),ROUNDDOWN(((ROUNDDOWN(税率・条件!$C$13/12,2))-SUM(BC28:BC29))/(BC13-SUM(BC11:BC12))*BC10,2),BC10)</f>
        <v>0</v>
      </c>
      <c r="BD27" s="190">
        <f>IF(BD13&gt;ROUNDDOWN(税率・条件!$C$13/12,2),ROUNDDOWN(((ROUNDDOWN(税率・条件!$C$13/12,2))-SUM(BD28:BD29))/(BD13-SUM(BD11:BD12))*BD10,2),BD10)</f>
        <v>0</v>
      </c>
      <c r="BE27" s="190">
        <f>IF(BE13&gt;ROUNDDOWN(税率・条件!$C$13/12,2),ROUNDDOWN(((ROUNDDOWN(税率・条件!$C$13/12,2))-SUM(BE28:BE29))/(BE13-SUM(BE11:BE12))*BE10,2),BE10)</f>
        <v>0</v>
      </c>
      <c r="BF27" s="190">
        <f>IF(BF13&gt;ROUNDDOWN(税率・条件!$C$13/12,2),ROUNDDOWN(((ROUNDDOWN(税率・条件!$C$13/12,2))-SUM(BF28:BF29))/(BF13-SUM(BF11:BF12))*BF10,2),BF10)</f>
        <v>0</v>
      </c>
      <c r="BG27" s="190">
        <f>IF(BG13&gt;ROUNDDOWN(税率・条件!$C$13/12,2),ROUNDDOWN(((ROUNDDOWN(税率・条件!$C$13/12,2))-SUM(BG28:BG29))/(BG13-SUM(BG11:BG12))*BG10,2),BG10)</f>
        <v>0</v>
      </c>
      <c r="BH27" s="190">
        <f>IF(BH13&gt;ROUNDDOWN(税率・条件!$C$13/12,2),ROUNDDOWN(((ROUNDDOWN(税率・条件!$C$13/12,2))-SUM(BH28:BH29))/(BH13-SUM(BH11:BH12))*BH10,2),BH10)</f>
        <v>0</v>
      </c>
      <c r="BI27" s="190">
        <f>IF(BI13&gt;ROUNDDOWN(税率・条件!$C$13/12,2),ROUNDDOWN(((ROUNDDOWN(税率・条件!$C$13/12,2))-SUM(BI28:BI29))/(BI13-SUM(BI11:BI12))*BI10,2),BI10)</f>
        <v>0</v>
      </c>
      <c r="BJ27" s="190">
        <f>IF(BJ13&gt;ROUNDDOWN(税率・条件!$C$13/12,2),ROUNDDOWN(((ROUNDDOWN(税率・条件!$C$13/12,2))-SUM(BJ28:BJ29))/(BJ13-SUM(BJ11:BJ12))*BJ10,2),BJ10)</f>
        <v>0</v>
      </c>
      <c r="BK27" s="190">
        <f>IF(BK13&gt;ROUNDDOWN(税率・条件!$C$13/12,2),ROUNDDOWN(((ROUNDDOWN(税率・条件!$C$13/12,2))-SUM(BK28:BK29))/(BK13-SUM(BK11:BK12))*BK10,2),BK10)</f>
        <v>0</v>
      </c>
      <c r="BL27" s="192">
        <f t="shared" si="49"/>
        <v>0</v>
      </c>
      <c r="BM27" s="193">
        <f t="shared" si="40"/>
        <v>0</v>
      </c>
    </row>
    <row r="28" spans="1:66" ht="18.95" customHeight="1" thickBot="1" x14ac:dyDescent="0.2">
      <c r="B28" s="29">
        <v>1620000</v>
      </c>
      <c r="C28" s="72" t="str">
        <f>IF(AND(入力!G16&gt;=B28,入力!G16&lt;B29),1070000,"")</f>
        <v/>
      </c>
      <c r="D28" s="72" t="str">
        <f>IF(AND(入力!G17&gt;=B28,入力!G17&lt;B29),1070000,"")</f>
        <v/>
      </c>
      <c r="E28" s="72" t="str">
        <f>IF(AND(入力!G18&gt;=B28,入力!G18&lt;B29),1070000,"")</f>
        <v/>
      </c>
      <c r="F28" s="72" t="str">
        <f>IF(AND(入力!G19&gt;=B28,入力!G19&lt;B29),1070000,"")</f>
        <v/>
      </c>
      <c r="G28" s="72" t="str">
        <f>IF(AND(入力!G20&gt;=B28,入力!G20&lt;B29),1070000,"")</f>
        <v/>
      </c>
      <c r="H28" s="72" t="str">
        <f>IF(AND(入力!G21&gt;=B28,入力!G21&lt;B29),1070000,"")</f>
        <v/>
      </c>
      <c r="I28" s="72" t="str">
        <f>IF(AND(入力!G22&gt;=B28,入力!G22&lt;B29),1070000,"")</f>
        <v/>
      </c>
      <c r="J28" s="72" t="str">
        <f>IF(AND(入力!G23&gt;=B28,入力!G23&lt;B29),1070000,"")</f>
        <v/>
      </c>
      <c r="L28" s="165" t="s">
        <v>62</v>
      </c>
      <c r="M28" s="169" t="str">
        <f>IF(M25=0,"",税率・条件!F6+IF(M26=0,0,(M26-1)*100000)+税率・条件!G6*M25)</f>
        <v/>
      </c>
      <c r="O28" s="28"/>
      <c r="P28" s="376"/>
      <c r="Q28" s="161" t="s">
        <v>36</v>
      </c>
      <c r="R28" s="291">
        <f>ROUNDDOWN(SUM(R24:T27),-2)</f>
        <v>0</v>
      </c>
      <c r="S28" s="292"/>
      <c r="T28" s="293"/>
      <c r="X28" s="38" t="str">
        <f>入力!E18</f>
        <v>３</v>
      </c>
      <c r="Y28" s="39" t="str">
        <f>IF(B8="","",B8)</f>
        <v/>
      </c>
      <c r="Z28" s="36" t="str">
        <f t="shared" si="50"/>
        <v/>
      </c>
      <c r="AA28" s="37" t="str">
        <f t="shared" si="51"/>
        <v/>
      </c>
      <c r="AB28" s="37" t="str">
        <f t="shared" si="52"/>
        <v/>
      </c>
      <c r="AC28" s="303" t="str">
        <f t="shared" si="53"/>
        <v/>
      </c>
      <c r="AD28" s="304"/>
      <c r="AF28" s="1" t="s">
        <v>59</v>
      </c>
      <c r="AY28" s="180" t="s">
        <v>178</v>
      </c>
      <c r="AZ28" s="190">
        <f>AZ11</f>
        <v>0</v>
      </c>
      <c r="BA28" s="190">
        <f t="shared" ref="BA28:BK28" si="54">BA11</f>
        <v>0</v>
      </c>
      <c r="BB28" s="190">
        <f t="shared" si="54"/>
        <v>0</v>
      </c>
      <c r="BC28" s="190">
        <f t="shared" si="54"/>
        <v>0</v>
      </c>
      <c r="BD28" s="190">
        <f t="shared" si="54"/>
        <v>0</v>
      </c>
      <c r="BE28" s="190">
        <f t="shared" si="54"/>
        <v>0</v>
      </c>
      <c r="BF28" s="190">
        <f t="shared" si="54"/>
        <v>0</v>
      </c>
      <c r="BG28" s="190">
        <f t="shared" si="54"/>
        <v>0</v>
      </c>
      <c r="BH28" s="190">
        <f t="shared" si="54"/>
        <v>0</v>
      </c>
      <c r="BI28" s="190">
        <f t="shared" si="54"/>
        <v>0</v>
      </c>
      <c r="BJ28" s="190">
        <f t="shared" si="54"/>
        <v>0</v>
      </c>
      <c r="BK28" s="190">
        <f t="shared" si="54"/>
        <v>0</v>
      </c>
      <c r="BL28" s="192">
        <f t="shared" si="49"/>
        <v>0</v>
      </c>
      <c r="BM28" s="193">
        <f>BM30-BM26-BM27-BM29</f>
        <v>0</v>
      </c>
      <c r="BN28" s="209" t="str">
        <f>IF(ROUND(BL28,0)=BM28,"","←調整後数値")</f>
        <v/>
      </c>
    </row>
    <row r="29" spans="1:66" ht="18.95" customHeight="1" x14ac:dyDescent="0.15">
      <c r="B29" s="29">
        <v>1622000</v>
      </c>
      <c r="C29" s="72" t="str">
        <f>IF(AND(入力!G16&gt;=B29,入力!G16&lt;B30),1072000,"")</f>
        <v/>
      </c>
      <c r="D29" s="72" t="str">
        <f>IF(AND(入力!G17&gt;=B29,入力!G17&lt;B30),1072000,"")</f>
        <v/>
      </c>
      <c r="E29" s="72" t="str">
        <f>IF(AND(入力!G18&gt;=B29,入力!G18&lt;B30),1072000,"")</f>
        <v/>
      </c>
      <c r="F29" s="72" t="str">
        <f>IF(AND(入力!G19&gt;=B29,入力!G19&lt;B30),1072000,"")</f>
        <v/>
      </c>
      <c r="G29" s="72" t="str">
        <f>IF(AND(入力!G20&gt;=B29,入力!G20&lt;B30),1072000,"")</f>
        <v/>
      </c>
      <c r="H29" s="72" t="str">
        <f>IF(AND(入力!G21&gt;=B29,入力!G21&lt;B30),1072000,"")</f>
        <v/>
      </c>
      <c r="I29" s="72" t="str">
        <f>IF(AND(入力!G22&gt;=B29,入力!G22&lt;B30),1072000,"")</f>
        <v/>
      </c>
      <c r="J29" s="72" t="str">
        <f>IF(AND(入力!G23&gt;=B29,入力!G23&lt;B30),1072000,"")</f>
        <v/>
      </c>
      <c r="L29" s="165" t="s">
        <v>61</v>
      </c>
      <c r="M29" s="169" t="str">
        <f>IF(M25=0,"",税率・条件!F7+IF(M26=0,0,(M26-1)*100000)+税率・条件!G7*M25)</f>
        <v/>
      </c>
      <c r="O29" s="28"/>
      <c r="P29" s="377" t="s">
        <v>29</v>
      </c>
      <c r="Q29" s="162" t="s">
        <v>24</v>
      </c>
      <c r="R29" s="294">
        <f>BM26</f>
        <v>0</v>
      </c>
      <c r="S29" s="295"/>
      <c r="T29" s="296"/>
      <c r="U29" s="207" t="str">
        <f>IF(AND(R29&gt;0,COUNTIF($Z$64:$AQ$64,"該当")&gt;0),"月割限度。調整前:"&amp;TEXT(ROUND(BM9,0),"#,##0"&amp;"円"),"")</f>
        <v/>
      </c>
      <c r="X29" s="38" t="str">
        <f>入力!E19</f>
        <v>４</v>
      </c>
      <c r="Y29" s="39" t="str">
        <f>IF(B10="","",B10)</f>
        <v/>
      </c>
      <c r="Z29" s="36" t="str">
        <f t="shared" si="50"/>
        <v/>
      </c>
      <c r="AA29" s="37" t="str">
        <f t="shared" si="51"/>
        <v/>
      </c>
      <c r="AB29" s="37" t="str">
        <f t="shared" si="52"/>
        <v/>
      </c>
      <c r="AC29" s="303" t="str">
        <f t="shared" si="53"/>
        <v/>
      </c>
      <c r="AD29" s="304"/>
      <c r="AF29" s="1" t="s">
        <v>60</v>
      </c>
      <c r="AY29" s="180" t="s">
        <v>179</v>
      </c>
      <c r="AZ29" s="190">
        <f>AZ12</f>
        <v>0</v>
      </c>
      <c r="BA29" s="190">
        <f t="shared" ref="BA29:BK29" si="55">BA12</f>
        <v>0</v>
      </c>
      <c r="BB29" s="190">
        <f t="shared" si="55"/>
        <v>0</v>
      </c>
      <c r="BC29" s="190">
        <f t="shared" si="55"/>
        <v>0</v>
      </c>
      <c r="BD29" s="190">
        <f t="shared" si="55"/>
        <v>0</v>
      </c>
      <c r="BE29" s="190">
        <f t="shared" si="55"/>
        <v>0</v>
      </c>
      <c r="BF29" s="190">
        <f t="shared" si="55"/>
        <v>0</v>
      </c>
      <c r="BG29" s="190">
        <f t="shared" si="55"/>
        <v>0</v>
      </c>
      <c r="BH29" s="190">
        <f t="shared" si="55"/>
        <v>0</v>
      </c>
      <c r="BI29" s="190">
        <f t="shared" si="55"/>
        <v>0</v>
      </c>
      <c r="BJ29" s="190">
        <f t="shared" si="55"/>
        <v>0</v>
      </c>
      <c r="BK29" s="190">
        <f t="shared" si="55"/>
        <v>0</v>
      </c>
      <c r="BL29" s="192">
        <f t="shared" si="49"/>
        <v>0</v>
      </c>
      <c r="BM29" s="193">
        <f t="shared" si="40"/>
        <v>0</v>
      </c>
    </row>
    <row r="30" spans="1:66" ht="18.95" customHeight="1" thickBot="1" x14ac:dyDescent="0.2">
      <c r="B30" s="29">
        <v>1624000</v>
      </c>
      <c r="C30" s="72" t="str">
        <f>IF(AND(入力!G16&gt;=B30,入力!G16&lt;B31),1074000,"")</f>
        <v/>
      </c>
      <c r="D30" s="72" t="str">
        <f>IF(AND(入力!G17&gt;=B30,入力!G17&lt;B31),1074000,"")</f>
        <v/>
      </c>
      <c r="E30" s="72" t="str">
        <f>IF(AND(入力!G18&gt;=B30,入力!G18&lt;B31),1074000,"")</f>
        <v/>
      </c>
      <c r="F30" s="72" t="str">
        <f>IF(AND(入力!G19&gt;=B30,入力!G19&lt;B31),1074000,"")</f>
        <v/>
      </c>
      <c r="G30" s="72" t="str">
        <f>IF(AND(入力!G20&gt;=B30,入力!G20&lt;B31),1074000,"")</f>
        <v/>
      </c>
      <c r="H30" s="72" t="str">
        <f>IF(AND(入力!G21&gt;=B30,入力!G21&lt;B31),1074000,"")</f>
        <v/>
      </c>
      <c r="I30" s="72" t="str">
        <f>IF(AND(入力!G22&gt;=B30,入力!G22&lt;B31),1074000,"")</f>
        <v/>
      </c>
      <c r="J30" s="72" t="str">
        <f>IF(AND(入力!G23&gt;=B30,入力!G23&lt;B31),1074000,"")</f>
        <v/>
      </c>
      <c r="L30" s="28"/>
      <c r="M30" s="28"/>
      <c r="O30" s="28"/>
      <c r="P30" s="375"/>
      <c r="Q30" s="160" t="s">
        <v>25</v>
      </c>
      <c r="R30" s="288">
        <f t="shared" ref="R30:R32" si="56">BM27</f>
        <v>0</v>
      </c>
      <c r="S30" s="289"/>
      <c r="T30" s="290"/>
      <c r="U30" s="207" t="str">
        <f>IF(AND(R30&gt;0,COUNTA($Z$78:$AQ$78)&gt;0),"月割限度。調整前:"&amp;TEXT(ROUND(BM10,0),"#,##0"&amp;"円"),"")</f>
        <v/>
      </c>
      <c r="X30" s="38" t="str">
        <f>入力!E20</f>
        <v>５</v>
      </c>
      <c r="Y30" s="39" t="str">
        <f>IF(B12="","",B12)</f>
        <v/>
      </c>
      <c r="Z30" s="36" t="str">
        <f t="shared" si="50"/>
        <v/>
      </c>
      <c r="AA30" s="37" t="str">
        <f t="shared" si="51"/>
        <v/>
      </c>
      <c r="AB30" s="37" t="str">
        <f t="shared" si="52"/>
        <v/>
      </c>
      <c r="AC30" s="303" t="str">
        <f t="shared" si="53"/>
        <v/>
      </c>
      <c r="AD30" s="304"/>
      <c r="AY30" s="181" t="s">
        <v>186</v>
      </c>
      <c r="AZ30" s="185">
        <f>SUM(AZ26:AZ29)</f>
        <v>0</v>
      </c>
      <c r="BA30" s="185">
        <f t="shared" ref="BA30:BK30" si="57">SUM(BA26:BA29)</f>
        <v>0</v>
      </c>
      <c r="BB30" s="185">
        <f t="shared" si="57"/>
        <v>0</v>
      </c>
      <c r="BC30" s="185">
        <f t="shared" si="57"/>
        <v>0</v>
      </c>
      <c r="BD30" s="185">
        <f t="shared" si="57"/>
        <v>0</v>
      </c>
      <c r="BE30" s="185">
        <f t="shared" si="57"/>
        <v>0</v>
      </c>
      <c r="BF30" s="185">
        <f t="shared" si="57"/>
        <v>0</v>
      </c>
      <c r="BG30" s="185">
        <f t="shared" si="57"/>
        <v>0</v>
      </c>
      <c r="BH30" s="185">
        <f t="shared" si="57"/>
        <v>0</v>
      </c>
      <c r="BI30" s="185">
        <f t="shared" si="57"/>
        <v>0</v>
      </c>
      <c r="BJ30" s="185">
        <f t="shared" si="57"/>
        <v>0</v>
      </c>
      <c r="BK30" s="185">
        <f t="shared" si="57"/>
        <v>0</v>
      </c>
      <c r="BL30" s="185">
        <f>SUM(AZ30:BK30)</f>
        <v>0</v>
      </c>
      <c r="BM30" s="194">
        <f>ROUND(BL30,0)</f>
        <v>0</v>
      </c>
    </row>
    <row r="31" spans="1:66" ht="18.95" customHeight="1" x14ac:dyDescent="0.15">
      <c r="B31" s="29">
        <v>1628000</v>
      </c>
      <c r="C31" s="72" t="str">
        <f>IF(AND(入力!G16&gt;=B31,入力!G16&lt;B32),ROUNDDOWN(入力!G16/4,-3)*4*0.6+100000,"")</f>
        <v/>
      </c>
      <c r="D31" s="72" t="str">
        <f>IF(AND(入力!G17&gt;=B31,入力!G17&lt;B32),ROUNDDOWN(入力!G17/4,-3)*4*0.6+100000,"")</f>
        <v/>
      </c>
      <c r="E31" s="72" t="str">
        <f>IF(AND(入力!G18&gt;=B31,入力!G18&lt;B32),ROUNDDOWN(入力!G18/4,-3)*4*0.6+100000,"")</f>
        <v/>
      </c>
      <c r="F31" s="72" t="str">
        <f>IF(AND(入力!G19&gt;=B31,入力!G19&lt;B32),ROUNDDOWN(入力!G19/4,-3)*4*0.6+100000,"")</f>
        <v/>
      </c>
      <c r="G31" s="72" t="str">
        <f>IF(AND(入力!G20&gt;=B31,入力!G20&lt;B32),ROUNDDOWN(入力!G20/4,-3)*4*0.6+100000,"")</f>
        <v/>
      </c>
      <c r="H31" s="72" t="str">
        <f>IF(AND(入力!G21&gt;=B31,入力!G21&lt;B32),ROUNDDOWN(入力!G21/4,-3)*4*0.6+100000,"")</f>
        <v/>
      </c>
      <c r="I31" s="72" t="str">
        <f>IF(AND(入力!G22&gt;=B31,入力!G22&lt;B32),ROUNDDOWN(入力!G22/4,-3)*4*0.6+100000,"")</f>
        <v/>
      </c>
      <c r="J31" s="72" t="str">
        <f>IF(AND(入力!G23&gt;=B31,入力!G23&lt;B32),ROUNDDOWN(入力!G23/4,-3)*4*0.6+100000,"")</f>
        <v/>
      </c>
      <c r="L31" s="389" t="s">
        <v>44</v>
      </c>
      <c r="M31" s="391">
        <f>SUM(Q4:Q19)</f>
        <v>0</v>
      </c>
      <c r="O31" s="27"/>
      <c r="P31" s="375"/>
      <c r="Q31" s="160" t="s">
        <v>26</v>
      </c>
      <c r="R31" s="288">
        <f t="shared" si="56"/>
        <v>0</v>
      </c>
      <c r="S31" s="289"/>
      <c r="T31" s="290"/>
      <c r="X31" s="38" t="str">
        <f>入力!E21</f>
        <v>６</v>
      </c>
      <c r="Y31" s="39" t="str">
        <f>IF(B14="","",B14)</f>
        <v/>
      </c>
      <c r="Z31" s="36" t="str">
        <f t="shared" si="50"/>
        <v/>
      </c>
      <c r="AA31" s="37" t="str">
        <f t="shared" si="51"/>
        <v/>
      </c>
      <c r="AB31" s="37" t="str">
        <f t="shared" si="52"/>
        <v/>
      </c>
      <c r="AC31" s="303" t="str">
        <f t="shared" si="53"/>
        <v/>
      </c>
      <c r="AD31" s="304"/>
      <c r="AY31" s="178" t="s">
        <v>180</v>
      </c>
      <c r="AZ31" s="179">
        <f>IF(AZ18&gt;ROUNDDOWN(税率・条件!$C$18/12,2),ROUNDDOWN(税率・条件!$C$18/12,2)-SUM(AZ32:AZ34),AZ14)</f>
        <v>0</v>
      </c>
      <c r="BA31" s="179">
        <f>IF(BA18&gt;ROUNDDOWN(税率・条件!$C$18/12,2),ROUNDDOWN(税率・条件!$C$18/12,2)-SUM(BA32:BA34),BA14)</f>
        <v>0</v>
      </c>
      <c r="BB31" s="179">
        <f>IF(BB18&gt;ROUNDDOWN(税率・条件!$C$18/12,2),ROUNDDOWN(税率・条件!$C$18/12,2)-SUM(BB32:BB34),BB14)</f>
        <v>0</v>
      </c>
      <c r="BC31" s="179">
        <f>IF(BC18&gt;ROUNDDOWN(税率・条件!$C$18/12,2),ROUNDDOWN(税率・条件!$C$18/12,2)-SUM(BC32:BC34),BC14)</f>
        <v>0</v>
      </c>
      <c r="BD31" s="179">
        <f>IF(BD18&gt;ROUNDDOWN(税率・条件!$C$18/12,2),ROUNDDOWN(税率・条件!$C$18/12,2)-SUM(BD32:BD34),BD14)</f>
        <v>0</v>
      </c>
      <c r="BE31" s="179">
        <f>IF(BE18&gt;ROUNDDOWN(税率・条件!$C$18/12,2),ROUNDDOWN(税率・条件!$C$18/12,2)-SUM(BE32:BE34),BE14)</f>
        <v>0</v>
      </c>
      <c r="BF31" s="179">
        <f>IF(BF18&gt;ROUNDDOWN(税率・条件!$C$18/12,2),ROUNDDOWN(税率・条件!$C$18/12,2)-SUM(BF32:BF34),BF14)</f>
        <v>0</v>
      </c>
      <c r="BG31" s="179">
        <f>IF(BG18&gt;ROUNDDOWN(税率・条件!$C$18/12,2),ROUNDDOWN(税率・条件!$C$18/12,2)-SUM(BG32:BG34),BG14)</f>
        <v>0</v>
      </c>
      <c r="BH31" s="179">
        <f>IF(BH18&gt;ROUNDDOWN(税率・条件!$C$18/12,2),ROUNDDOWN(税率・条件!$C$18/12,2)-SUM(BH32:BH34),BH14)</f>
        <v>0</v>
      </c>
      <c r="BI31" s="179">
        <f>IF(BI18&gt;ROUNDDOWN(税率・条件!$C$18/12,2),ROUNDDOWN(税率・条件!$C$18/12,2)-SUM(BI32:BI34),BI14)</f>
        <v>0</v>
      </c>
      <c r="BJ31" s="179">
        <f>IF(BJ18&gt;ROUNDDOWN(税率・条件!$C$18/12,2),ROUNDDOWN(税率・条件!$C$18/12,2)-SUM(BJ32:BJ34),BJ14)</f>
        <v>0</v>
      </c>
      <c r="BK31" s="179">
        <f>IF(BK18&gt;ROUNDDOWN(税率・条件!$C$18/12,2),ROUNDDOWN(税率・条件!$C$18/12,2)-SUM(BK32:BK34),BK14)</f>
        <v>0</v>
      </c>
      <c r="BL31" s="191">
        <f t="shared" ref="BL31:BL34" si="58">SUM(AZ31:BK31)</f>
        <v>0</v>
      </c>
      <c r="BM31" s="210">
        <f t="shared" si="40"/>
        <v>0</v>
      </c>
      <c r="BN31" s="209"/>
    </row>
    <row r="32" spans="1:66" ht="18.95" customHeight="1" x14ac:dyDescent="0.15">
      <c r="B32" s="29">
        <v>1800000</v>
      </c>
      <c r="C32" s="72" t="str">
        <f>IF(AND(入力!G16&gt;=B32,入力!G16&lt;B33),ROUNDDOWN(入力!G16/4,-3)*4*0.7-80000,"")</f>
        <v/>
      </c>
      <c r="D32" s="72" t="str">
        <f>IF(AND(入力!G17&gt;=B32,入力!G17&lt;B33),ROUNDDOWN(入力!G17/4,-3)*4*0.7-80000,"")</f>
        <v/>
      </c>
      <c r="E32" s="72" t="str">
        <f>IF(AND(入力!G18&gt;=B32,入力!G18&lt;B33),ROUNDDOWN(入力!G18/4,-3)*4*0.7-80000,"")</f>
        <v/>
      </c>
      <c r="F32" s="72" t="str">
        <f>IF(AND(入力!G19&gt;=B32,入力!G19&lt;B33),ROUNDDOWN(入力!G19/4,-3)*4*0.7-80000,"")</f>
        <v/>
      </c>
      <c r="G32" s="72" t="str">
        <f>IF(AND(入力!G20&gt;=B32,入力!G20&lt;B33),ROUNDDOWN(入力!G20/4,-3)*4*0.7-80000,"")</f>
        <v/>
      </c>
      <c r="H32" s="72" t="str">
        <f>IF(AND(入力!G21&gt;=B32,入力!G21&lt;B33),ROUNDDOWN(入力!G21/4,-3)*4*0.7-80000,"")</f>
        <v/>
      </c>
      <c r="I32" s="72" t="str">
        <f>IF(AND(入力!G22&gt;=B32,入力!G22&lt;B33),ROUNDDOWN(入力!G22/4,-3)*4*0.7-80000,"")</f>
        <v/>
      </c>
      <c r="J32" s="72" t="str">
        <f>IF(AND(入力!G23&gt;=B32,入力!G23&lt;B33),ROUNDDOWN(入力!G23/4,-3)*4*0.7-80000,"")</f>
        <v/>
      </c>
      <c r="L32" s="390"/>
      <c r="M32" s="390"/>
      <c r="O32" s="28"/>
      <c r="P32" s="375"/>
      <c r="Q32" s="160" t="s">
        <v>27</v>
      </c>
      <c r="R32" s="288">
        <f t="shared" si="56"/>
        <v>0</v>
      </c>
      <c r="S32" s="289"/>
      <c r="T32" s="290"/>
      <c r="X32" s="38" t="str">
        <f>入力!E22</f>
        <v>７</v>
      </c>
      <c r="Y32" s="39" t="str">
        <f>IF(B16="","",B16)</f>
        <v/>
      </c>
      <c r="Z32" s="36" t="str">
        <f t="shared" si="50"/>
        <v/>
      </c>
      <c r="AA32" s="37" t="str">
        <f t="shared" si="51"/>
        <v/>
      </c>
      <c r="AB32" s="37" t="str">
        <f t="shared" si="52"/>
        <v/>
      </c>
      <c r="AC32" s="303" t="str">
        <f t="shared" si="53"/>
        <v/>
      </c>
      <c r="AD32" s="304"/>
      <c r="AY32" s="180" t="s">
        <v>181</v>
      </c>
      <c r="AZ32" s="190">
        <f>IF(AZ18&gt;ROUNDDOWN(税率・条件!$C$18/12,2),ROUNDDOWN(((ROUNDDOWN(税率・条件!$C$18/12,2))-SUM(AZ33:AZ34))/(AZ18-SUM(AZ16:AZ17))*AZ15,2),AZ15)</f>
        <v>0</v>
      </c>
      <c r="BA32" s="190">
        <f>IF(BA18&gt;ROUNDDOWN(税率・条件!$C$18/12,2),ROUNDDOWN(((ROUNDDOWN(税率・条件!$C$18/12,2))-SUM(BA33:BA34))/(BA18-SUM(BA16:BA17))*BA15,2),BA15)</f>
        <v>0</v>
      </c>
      <c r="BB32" s="190">
        <f>IF(BB18&gt;ROUNDDOWN(税率・条件!$C$18/12,2),ROUNDDOWN(((ROUNDDOWN(税率・条件!$C$18/12,2))-SUM(BB33:BB34))/(BB18-SUM(BB16:BB17))*BB15,2),BB15)</f>
        <v>0</v>
      </c>
      <c r="BC32" s="190">
        <f>IF(BC18&gt;ROUNDDOWN(税率・条件!$C$18/12,2),ROUNDDOWN(((ROUNDDOWN(税率・条件!$C$18/12,2))-SUM(BC33:BC34))/(BC18-SUM(BC16:BC17))*BC15,2),BC15)</f>
        <v>0</v>
      </c>
      <c r="BD32" s="190">
        <f>IF(BD18&gt;ROUNDDOWN(税率・条件!$C$18/12,2),ROUNDDOWN(((ROUNDDOWN(税率・条件!$C$18/12,2))-SUM(BD33:BD34))/(BD18-SUM(BD16:BD17))*BD15,2),BD15)</f>
        <v>0</v>
      </c>
      <c r="BE32" s="190">
        <f>IF(BE18&gt;ROUNDDOWN(税率・条件!$C$18/12,2),ROUNDDOWN(((ROUNDDOWN(税率・条件!$C$18/12,2))-SUM(BE33:BE34))/(BE18-SUM(BE16:BE17))*BE15,2),BE15)</f>
        <v>0</v>
      </c>
      <c r="BF32" s="190">
        <f>IF(BF18&gt;ROUNDDOWN(税率・条件!$C$18/12,2),ROUNDDOWN(((ROUNDDOWN(税率・条件!$C$18/12,2))-SUM(BF33:BF34))/(BF18-SUM(BF16:BF17))*BF15,2),BF15)</f>
        <v>0</v>
      </c>
      <c r="BG32" s="190">
        <f>IF(BG18&gt;ROUNDDOWN(税率・条件!$C$18/12,2),ROUNDDOWN(((ROUNDDOWN(税率・条件!$C$18/12,2))-SUM(BG33:BG34))/(BG18-SUM(BG16:BG17))*BG15,2),BG15)</f>
        <v>0</v>
      </c>
      <c r="BH32" s="190">
        <f>IF(BH18&gt;ROUNDDOWN(税率・条件!$C$18/12,2),ROUNDDOWN(((ROUNDDOWN(税率・条件!$C$18/12,2))-SUM(BH33:BH34))/(BH18-SUM(BH16:BH17))*BH15,2),BH15)</f>
        <v>0</v>
      </c>
      <c r="BI32" s="190">
        <f>IF(BI18&gt;ROUNDDOWN(税率・条件!$C$18/12,2),ROUNDDOWN(((ROUNDDOWN(税率・条件!$C$18/12,2))-SUM(BI33:BI34))/(BI18-SUM(BI16:BI17))*BI15,2),BI15)</f>
        <v>0</v>
      </c>
      <c r="BJ32" s="190">
        <f>IF(BJ18&gt;ROUNDDOWN(税率・条件!$C$18/12,2),ROUNDDOWN(((ROUNDDOWN(税率・条件!$C$18/12,2))-SUM(BJ33:BJ34))/(BJ18-SUM(BJ16:BJ17))*BJ15,2),BJ15)</f>
        <v>0</v>
      </c>
      <c r="BK32" s="190">
        <f>IF(BK18&gt;ROUNDDOWN(税率・条件!$C$18/12,2),ROUNDDOWN(((ROUNDDOWN(税率・条件!$C$18/12,2))-SUM(BK33:BK34))/(BK18-SUM(BK16:BK17))*BK15,2),BK15)</f>
        <v>0</v>
      </c>
      <c r="BL32" s="192">
        <f t="shared" si="58"/>
        <v>0</v>
      </c>
      <c r="BM32" s="193">
        <f t="shared" si="40"/>
        <v>0</v>
      </c>
    </row>
    <row r="33" spans="2:66" ht="18.95" customHeight="1" thickBot="1" x14ac:dyDescent="0.2">
      <c r="B33" s="29">
        <v>3600000</v>
      </c>
      <c r="C33" s="72" t="str">
        <f>IF(AND(入力!G16&gt;=B33,入力!G16&lt;B34),ROUNDDOWN(入力!G16/4,-3)*4*0.8-440000,"")</f>
        <v/>
      </c>
      <c r="D33" s="72" t="str">
        <f>IF(AND(入力!G17&gt;=B33,入力!G17&lt;B34),ROUNDDOWN(入力!G17/4,-3)*4*0.8-440000,"")</f>
        <v/>
      </c>
      <c r="E33" s="72" t="str">
        <f>IF(AND(入力!G18&gt;=B33,入力!G18&lt;B34),ROUNDDOWN(入力!G18/4,-3)*4*0.8-440000,"")</f>
        <v/>
      </c>
      <c r="F33" s="72" t="str">
        <f>IF(AND(入力!G19&gt;=B33,入力!G19&lt;B34),ROUNDDOWN(入力!G19/4,-3)*4*0.8-440000,"")</f>
        <v/>
      </c>
      <c r="G33" s="72" t="str">
        <f>IF(AND(入力!G20&gt;=B33,入力!G20&lt;B34),ROUNDDOWN(入力!G20/4,-3)*4*0.8-440000,"")</f>
        <v/>
      </c>
      <c r="H33" s="72" t="str">
        <f>IF(AND(入力!G21&gt;=B33,入力!G21&lt;B34),ROUNDDOWN(入力!G21/4,-3)*4*0.8-440000,"")</f>
        <v/>
      </c>
      <c r="I33" s="72" t="str">
        <f>IF(AND(入力!G22&gt;=B33,入力!G22&lt;B34),ROUNDDOWN(入力!G22/4,-3)*4*0.8-440000,"")</f>
        <v/>
      </c>
      <c r="J33" s="72" t="str">
        <f>IF(AND(入力!G23&gt;=B33,入力!G23&lt;B34),ROUNDDOWN(入力!G23/4,-3)*4*0.8-440000,"")</f>
        <v/>
      </c>
      <c r="L33" s="166" t="s">
        <v>9</v>
      </c>
      <c r="M33" s="170" t="str">
        <f>IF(入力!C19="全員申告済み","申告有","未申告")</f>
        <v>未申告</v>
      </c>
      <c r="O33" s="28"/>
      <c r="P33" s="376"/>
      <c r="Q33" s="163" t="s">
        <v>36</v>
      </c>
      <c r="R33" s="291">
        <f>ROUNDDOWN(SUM(R29:T32),-2)</f>
        <v>0</v>
      </c>
      <c r="S33" s="292"/>
      <c r="T33" s="293"/>
      <c r="X33" s="40" t="str">
        <f>入力!E23</f>
        <v>８</v>
      </c>
      <c r="Y33" s="41" t="str">
        <f>IF(B18="","",B18)</f>
        <v/>
      </c>
      <c r="Z33" s="42" t="str">
        <f t="shared" si="50"/>
        <v/>
      </c>
      <c r="AA33" s="43" t="str">
        <f t="shared" si="51"/>
        <v/>
      </c>
      <c r="AB33" s="43" t="str">
        <f t="shared" si="52"/>
        <v/>
      </c>
      <c r="AC33" s="378" t="str">
        <f t="shared" si="53"/>
        <v/>
      </c>
      <c r="AD33" s="379"/>
      <c r="AY33" s="180" t="s">
        <v>182</v>
      </c>
      <c r="AZ33" s="190">
        <f>AZ16</f>
        <v>0</v>
      </c>
      <c r="BA33" s="190">
        <f t="shared" ref="BA33:BK33" si="59">BA16</f>
        <v>0</v>
      </c>
      <c r="BB33" s="190">
        <f t="shared" si="59"/>
        <v>0</v>
      </c>
      <c r="BC33" s="190">
        <f t="shared" si="59"/>
        <v>0</v>
      </c>
      <c r="BD33" s="190">
        <f t="shared" si="59"/>
        <v>0</v>
      </c>
      <c r="BE33" s="190">
        <f t="shared" si="59"/>
        <v>0</v>
      </c>
      <c r="BF33" s="190">
        <f t="shared" si="59"/>
        <v>0</v>
      </c>
      <c r="BG33" s="190">
        <f t="shared" si="59"/>
        <v>0</v>
      </c>
      <c r="BH33" s="190">
        <f t="shared" si="59"/>
        <v>0</v>
      </c>
      <c r="BI33" s="190">
        <f t="shared" si="59"/>
        <v>0</v>
      </c>
      <c r="BJ33" s="190">
        <f t="shared" si="59"/>
        <v>0</v>
      </c>
      <c r="BK33" s="190">
        <f t="shared" si="59"/>
        <v>0</v>
      </c>
      <c r="BL33" s="192">
        <f t="shared" si="58"/>
        <v>0</v>
      </c>
      <c r="BM33" s="193">
        <f>BM35-BM31-BM32-BM34</f>
        <v>0</v>
      </c>
      <c r="BN33" s="209" t="str">
        <f>IF(ROUND(BL33,0)=BM33,"","←調整後数値")</f>
        <v/>
      </c>
    </row>
    <row r="34" spans="2:66" ht="18.95" customHeight="1" thickBot="1" x14ac:dyDescent="0.2">
      <c r="B34" s="29">
        <v>6600000</v>
      </c>
      <c r="C34" s="72" t="str">
        <f>IF(AND(入力!G16&gt;=B34,入力!G16&lt;B35),入力!G16*0.9-1100000,"")</f>
        <v/>
      </c>
      <c r="D34" s="72" t="str">
        <f>IF(AND(入力!G17&gt;=B34,入力!G17&lt;B35),入力!G17*0.9-1100000,"")</f>
        <v/>
      </c>
      <c r="E34" s="72" t="str">
        <f>IF(AND(入力!G18&gt;=B34,入力!G18&lt;B35),入力!G18*0.9-1100000,"")</f>
        <v/>
      </c>
      <c r="F34" s="72" t="str">
        <f>IF(AND(入力!G19&gt;=B34,入力!G19&lt;B35),入力!G19*0.9-1100000,"")</f>
        <v/>
      </c>
      <c r="G34" s="72" t="str">
        <f>IF(AND(入力!G20&gt;=B34,入力!G20&lt;B35),入力!G20*0.9-1100000,"")</f>
        <v/>
      </c>
      <c r="H34" s="72" t="str">
        <f>IF(AND(入力!G21&gt;=B34,入力!G21&lt;B35),入力!G21*0.9-1100000,"")</f>
        <v/>
      </c>
      <c r="I34" s="72" t="str">
        <f>IF(AND(入力!G22&gt;=B34,入力!G22&lt;B35),入力!G22*0.9-1100000,"")</f>
        <v/>
      </c>
      <c r="J34" s="72" t="str">
        <f>IF(AND(入力!G23&gt;=B34,入力!G23&lt;B35),入力!G23*0.9-1100000,"")</f>
        <v/>
      </c>
      <c r="L34" s="173" t="s">
        <v>66</v>
      </c>
      <c r="M34" s="174">
        <f>IF(M35&lt;&gt;"",M35,IF(M33="未申告",0%,IF(M31&lt;=M27,70%,IF(M31&lt;=M28,50%,IF(M31&lt;=M29,20%,0%)))))</f>
        <v>0</v>
      </c>
      <c r="O34" s="28"/>
      <c r="P34" s="377" t="s">
        <v>102</v>
      </c>
      <c r="Q34" s="162" t="s">
        <v>24</v>
      </c>
      <c r="R34" s="294">
        <f>BM31</f>
        <v>0</v>
      </c>
      <c r="S34" s="295"/>
      <c r="T34" s="296"/>
      <c r="U34" s="207" t="str">
        <f>IF(AND(R34&gt;0,COUNTIF($Z$78:$AQ$78,"該当")&gt;0),"月割限度。調整前:"&amp;TEXT(ROUND(BM14,0),"#,##0"&amp;"円"),"")</f>
        <v/>
      </c>
      <c r="Z34" s="31">
        <f>SUM(Z26:Z33)</f>
        <v>0</v>
      </c>
      <c r="AA34" s="31">
        <f>SUM(AA26:AA33)</f>
        <v>0</v>
      </c>
      <c r="AB34" s="31">
        <f>SUM(AB26:AB33)</f>
        <v>0</v>
      </c>
      <c r="AC34" s="370">
        <f>SUM(AC26:AC33)</f>
        <v>0</v>
      </c>
      <c r="AD34" s="371"/>
      <c r="AY34" s="180" t="s">
        <v>183</v>
      </c>
      <c r="AZ34" s="190">
        <f>AZ17</f>
        <v>0</v>
      </c>
      <c r="BA34" s="190">
        <f t="shared" ref="BA34:BK34" si="60">BA17</f>
        <v>0</v>
      </c>
      <c r="BB34" s="190">
        <f t="shared" si="60"/>
        <v>0</v>
      </c>
      <c r="BC34" s="190">
        <f t="shared" si="60"/>
        <v>0</v>
      </c>
      <c r="BD34" s="190">
        <f t="shared" si="60"/>
        <v>0</v>
      </c>
      <c r="BE34" s="190">
        <f t="shared" si="60"/>
        <v>0</v>
      </c>
      <c r="BF34" s="190">
        <f t="shared" si="60"/>
        <v>0</v>
      </c>
      <c r="BG34" s="190">
        <f t="shared" si="60"/>
        <v>0</v>
      </c>
      <c r="BH34" s="190">
        <f t="shared" si="60"/>
        <v>0</v>
      </c>
      <c r="BI34" s="190">
        <f t="shared" si="60"/>
        <v>0</v>
      </c>
      <c r="BJ34" s="190">
        <f t="shared" si="60"/>
        <v>0</v>
      </c>
      <c r="BK34" s="190">
        <f t="shared" si="60"/>
        <v>0</v>
      </c>
      <c r="BL34" s="192">
        <f t="shared" si="58"/>
        <v>0</v>
      </c>
      <c r="BM34" s="193">
        <f t="shared" si="40"/>
        <v>0</v>
      </c>
    </row>
    <row r="35" spans="2:66" ht="18.95" customHeight="1" thickTop="1" thickBot="1" x14ac:dyDescent="0.2">
      <c r="B35" s="29">
        <v>8500000</v>
      </c>
      <c r="C35" s="72" t="str">
        <f>IF(入力!G16&gt;=B35,入力!G16-1950000,"")</f>
        <v/>
      </c>
      <c r="D35" s="72" t="str">
        <f>IF(入力!G17&gt;=B35,入力!G17-1950000,"")</f>
        <v/>
      </c>
      <c r="E35" s="72" t="str">
        <f>IF(入力!G18&gt;=B35,入力!G18-1950000,"")</f>
        <v/>
      </c>
      <c r="F35" s="72" t="str">
        <f>IF(入力!G19&gt;=B35,入力!G19-1950000,"")</f>
        <v/>
      </c>
      <c r="G35" s="72" t="str">
        <f>IF(入力!G20&gt;=B35,入力!G20-1950000,"")</f>
        <v/>
      </c>
      <c r="H35" s="72" t="str">
        <f>IF(入力!G21&gt;=B35,入力!G21-1950000,"")</f>
        <v/>
      </c>
      <c r="I35" s="72" t="str">
        <f>IF(入力!G22&gt;=B35,入力!G22-1950000,"")</f>
        <v/>
      </c>
      <c r="J35" s="72" t="str">
        <f>IF(入力!G23&gt;=B35,入力!G23-1950000,"")</f>
        <v/>
      </c>
      <c r="L35" s="196" t="s">
        <v>65</v>
      </c>
      <c r="M35" s="197"/>
      <c r="O35" s="27"/>
      <c r="P35" s="375"/>
      <c r="Q35" s="160" t="s">
        <v>25</v>
      </c>
      <c r="R35" s="288">
        <f t="shared" ref="R35:R37" si="61">BM32</f>
        <v>0</v>
      </c>
      <c r="S35" s="289"/>
      <c r="T35" s="290"/>
      <c r="U35" s="207" t="str">
        <f>IF(AND(R35&gt;0,COUNTIF($Z$78:$AQ$78,"該当")&gt;0),"月割限度。調整前:"&amp;TEXT(ROUND(BM15,0),"#,##0"&amp;"円"),"")</f>
        <v/>
      </c>
      <c r="Y35" s="144"/>
      <c r="Z35" s="153"/>
      <c r="AA35" s="153"/>
      <c r="AB35" s="153"/>
      <c r="AC35" s="370"/>
      <c r="AD35" s="371"/>
      <c r="AY35" s="181" t="s">
        <v>186</v>
      </c>
      <c r="AZ35" s="185">
        <f>SUM(AZ31:AZ34)</f>
        <v>0</v>
      </c>
      <c r="BA35" s="185">
        <f t="shared" ref="BA35:BK35" si="62">SUM(BA31:BA34)</f>
        <v>0</v>
      </c>
      <c r="BB35" s="185">
        <f t="shared" si="62"/>
        <v>0</v>
      </c>
      <c r="BC35" s="185">
        <f t="shared" si="62"/>
        <v>0</v>
      </c>
      <c r="BD35" s="185">
        <f t="shared" si="62"/>
        <v>0</v>
      </c>
      <c r="BE35" s="185">
        <f t="shared" si="62"/>
        <v>0</v>
      </c>
      <c r="BF35" s="185">
        <f t="shared" si="62"/>
        <v>0</v>
      </c>
      <c r="BG35" s="185">
        <f t="shared" si="62"/>
        <v>0</v>
      </c>
      <c r="BH35" s="185">
        <f t="shared" si="62"/>
        <v>0</v>
      </c>
      <c r="BI35" s="185">
        <f t="shared" si="62"/>
        <v>0</v>
      </c>
      <c r="BJ35" s="185">
        <f t="shared" si="62"/>
        <v>0</v>
      </c>
      <c r="BK35" s="185">
        <f t="shared" si="62"/>
        <v>0</v>
      </c>
      <c r="BL35" s="185">
        <f>SUM(AZ35:BK35)</f>
        <v>0</v>
      </c>
      <c r="BM35" s="194">
        <f>ROUND(BL35,0)</f>
        <v>0</v>
      </c>
    </row>
    <row r="36" spans="2:66" ht="18.95" customHeight="1" thickTop="1" x14ac:dyDescent="0.15">
      <c r="O36" s="27"/>
      <c r="P36" s="375"/>
      <c r="Q36" s="160" t="s">
        <v>26</v>
      </c>
      <c r="R36" s="288">
        <f t="shared" si="61"/>
        <v>0</v>
      </c>
      <c r="S36" s="289"/>
      <c r="T36" s="290"/>
      <c r="BM36" s="1" t="s">
        <v>191</v>
      </c>
    </row>
    <row r="37" spans="2:66" ht="18.95" customHeight="1" x14ac:dyDescent="0.15">
      <c r="B37" s="1" t="s">
        <v>99</v>
      </c>
      <c r="O37" s="28"/>
      <c r="P37" s="375"/>
      <c r="Q37" s="160" t="s">
        <v>27</v>
      </c>
      <c r="R37" s="288">
        <f t="shared" si="61"/>
        <v>0</v>
      </c>
      <c r="S37" s="289"/>
      <c r="T37" s="290"/>
    </row>
    <row r="38" spans="2:66" ht="18.95" customHeight="1" thickBot="1" x14ac:dyDescent="0.2">
      <c r="B38" s="1" t="s">
        <v>21</v>
      </c>
      <c r="P38" s="376"/>
      <c r="Q38" s="163" t="s">
        <v>36</v>
      </c>
      <c r="R38" s="291">
        <f>ROUNDDOWN(SUM(R34:T37),-2)</f>
        <v>0</v>
      </c>
      <c r="S38" s="292"/>
      <c r="T38" s="293"/>
      <c r="X38" s="1" t="str">
        <f>"医療分各個人月別計（令和"&amp;DBCS(税率・条件!C1)&amp;"年度税率）"</f>
        <v>医療分各個人月別計（令和６年度税率）</v>
      </c>
      <c r="AD38" s="1" t="s">
        <v>196</v>
      </c>
    </row>
    <row r="39" spans="2:66" ht="18.95" customHeight="1" thickTop="1" thickBot="1" x14ac:dyDescent="0.2">
      <c r="B39" s="46" t="s">
        <v>18</v>
      </c>
      <c r="C39" s="106" t="s">
        <v>13</v>
      </c>
      <c r="D39" s="106" t="s">
        <v>20</v>
      </c>
      <c r="P39" s="372" t="s">
        <v>170</v>
      </c>
      <c r="Q39" s="373"/>
      <c r="R39" s="297">
        <f>R28+R33+R38</f>
        <v>0</v>
      </c>
      <c r="S39" s="298"/>
      <c r="T39" s="299"/>
      <c r="X39" s="380"/>
      <c r="Y39" s="382" t="s">
        <v>56</v>
      </c>
      <c r="Z39" s="300" t="s">
        <v>55</v>
      </c>
      <c r="AA39" s="301"/>
      <c r="AB39" s="301"/>
      <c r="AC39" s="301"/>
      <c r="AD39" s="301"/>
      <c r="AE39" s="330"/>
      <c r="AF39" s="330"/>
      <c r="AG39" s="330"/>
      <c r="AH39" s="330"/>
      <c r="AI39" s="330"/>
      <c r="AJ39" s="330"/>
      <c r="AK39" s="330"/>
      <c r="AL39" s="330"/>
      <c r="AM39" s="330"/>
      <c r="AN39" s="330"/>
      <c r="AO39" s="330"/>
      <c r="AP39" s="330"/>
      <c r="AQ39" s="330"/>
      <c r="AR39" s="330"/>
      <c r="AS39" s="330"/>
      <c r="AT39" s="331"/>
      <c r="AU39" s="28"/>
      <c r="AV39" s="28"/>
    </row>
    <row r="40" spans="2:66" ht="18.95" customHeight="1" thickTop="1" x14ac:dyDescent="0.15">
      <c r="B40" s="29">
        <v>1</v>
      </c>
      <c r="C40" s="46">
        <v>100</v>
      </c>
      <c r="D40" s="29">
        <v>600000</v>
      </c>
      <c r="P40" s="195" t="s">
        <v>192</v>
      </c>
      <c r="X40" s="381"/>
      <c r="Y40" s="383"/>
      <c r="Z40" s="121" t="s">
        <v>123</v>
      </c>
      <c r="AA40" s="122" t="s">
        <v>124</v>
      </c>
      <c r="AB40" s="122" t="s">
        <v>125</v>
      </c>
      <c r="AC40" s="122" t="s">
        <v>126</v>
      </c>
      <c r="AD40" s="122" t="s">
        <v>127</v>
      </c>
      <c r="AE40" s="122" t="s">
        <v>128</v>
      </c>
      <c r="AF40" s="122" t="s">
        <v>129</v>
      </c>
      <c r="AG40" s="122" t="s">
        <v>130</v>
      </c>
      <c r="AH40" s="122" t="s">
        <v>131</v>
      </c>
      <c r="AI40" s="365" t="s">
        <v>132</v>
      </c>
      <c r="AJ40" s="366"/>
      <c r="AK40" s="366"/>
      <c r="AL40" s="365" t="s">
        <v>134</v>
      </c>
      <c r="AM40" s="366"/>
      <c r="AN40" s="366"/>
      <c r="AO40" s="365" t="s">
        <v>135</v>
      </c>
      <c r="AP40" s="366"/>
      <c r="AQ40" s="366"/>
      <c r="AR40" s="365" t="s">
        <v>133</v>
      </c>
      <c r="AS40" s="366"/>
      <c r="AT40" s="384"/>
      <c r="AU40" s="155"/>
      <c r="AV40" s="154"/>
      <c r="AW40" s="125"/>
    </row>
    <row r="41" spans="2:66" ht="18.95" customHeight="1" x14ac:dyDescent="0.15">
      <c r="B41" s="29">
        <v>1300000</v>
      </c>
      <c r="C41" s="46">
        <v>75</v>
      </c>
      <c r="D41" s="29">
        <v>275000</v>
      </c>
      <c r="P41" s="420" t="str">
        <f>IF(OR(U24&lt;&gt;"",U25&lt;&gt;"",U29&lt;&gt;"",U30&lt;&gt;"",U34&lt;&gt;"",U35&lt;&gt;""),"注意：所得割及び資産割欄の右に「月割限度。」と表示されている場合、月割り限度額を超えた月が存在しており、上限額を超えた部分を所得割と資産割の算出額を再按分し調整を行った後の額となっております。","")</f>
        <v/>
      </c>
      <c r="Q41" s="421"/>
      <c r="R41" s="421"/>
      <c r="S41" s="421"/>
      <c r="T41" s="421"/>
      <c r="U41" s="421"/>
      <c r="V41" s="421"/>
      <c r="X41" s="34">
        <f t="shared" ref="X41:Y41" si="63">X26</f>
        <v>1</v>
      </c>
      <c r="Y41" s="35" t="str">
        <f t="shared" si="63"/>
        <v/>
      </c>
      <c r="Z41" s="123" t="str">
        <f>IF(AZ46="","",ROUND(IF(AZ$63&lt;ROUNDDOWN(税率・条件!$C$8/12,0),AZ45+AZ46,AZ45*(((税率・条件!$C$8/12)-AZ$62)/AZ$61)+AZ46),0))</f>
        <v/>
      </c>
      <c r="AA41" s="124" t="str">
        <f>IF(BA46="","",ROUND(IF(BA$63&lt;ROUNDDOWN(税率・条件!$C$8/12,0),BA45+BA46,BA45*(((税率・条件!$C$8/12)-BA$62)/BA$61)+BA46),0))</f>
        <v/>
      </c>
      <c r="AB41" s="124" t="str">
        <f>IF(BB46="","",ROUND(IF(BB$63&lt;ROUNDDOWN(税率・条件!$C$8/12,0),BB45+BB46,BB45*(((税率・条件!$C$8/12)-BB$62)/BB$61)+BB46),0))</f>
        <v/>
      </c>
      <c r="AC41" s="124" t="str">
        <f>IF(BC46="","",ROUND(IF(BC$63&lt;ROUNDDOWN(税率・条件!$C$8/12,0),BC45+BC46,BC45*(((税率・条件!$C$8/12)-BC$62)/BC$61)+BC46),0))</f>
        <v/>
      </c>
      <c r="AD41" s="124" t="str">
        <f>IF(BD46="","",ROUND(IF(BD$63&lt;ROUNDDOWN(税率・条件!$C$8/12,0),BD45+BD46,BD45*(((税率・条件!$C$8/12)-BD$62)/BD$61)+BD46),0))</f>
        <v/>
      </c>
      <c r="AE41" s="124" t="str">
        <f>IF(BE46="","",ROUND(IF(BE$63&lt;ROUNDDOWN(税率・条件!$C$8/12,0),BE45+BE46,BE45*(((税率・条件!$C$8/12)-BE$62)/BE$61)+BE46),0))</f>
        <v/>
      </c>
      <c r="AF41" s="124" t="str">
        <f>IF(BF46="","",ROUND(IF(BF$63&lt;ROUNDDOWN(税率・条件!$C$8/12,0),BF45+BF46,BF45*(((税率・条件!$C$8/12)-BF$62)/BF$61)+BF46),0))</f>
        <v/>
      </c>
      <c r="AG41" s="124" t="str">
        <f>IF(BG46="","",ROUND(IF(BG$63&lt;ROUNDDOWN(税率・条件!$C$8/12,0),BG45+BG46,BG45*(((税率・条件!$C$8/12)-BG$62)/BG$61)+BG46),0))</f>
        <v/>
      </c>
      <c r="AH41" s="124" t="str">
        <f>IF(BH46="","",ROUND(IF(BH$63&lt;ROUNDDOWN(税率・条件!$C$8/12,0),BH45+BH46,BH45*(((税率・条件!$C$8/12)-BH$62)/BH$61)+BH46),0))</f>
        <v/>
      </c>
      <c r="AI41" s="367" t="str">
        <f>IF(BI46="","",ROUND(IF(BI$63&lt;ROUNDDOWN(税率・条件!$C$8/12,0),BI45+BI46,BI45*(((税率・条件!$C$8/12)-BI$62)/BI$61)+BI46),0))</f>
        <v/>
      </c>
      <c r="AJ41" s="368"/>
      <c r="AK41" s="369"/>
      <c r="AL41" s="367" t="str">
        <f>IF(BJ46="","",ROUND(IF(BJ$63&lt;ROUNDDOWN(税率・条件!$C$8/12,0),BJ45+BJ46,BJ45*(((税率・条件!$C$8/12)-BJ$62)/BJ$61)+BJ46),0))</f>
        <v/>
      </c>
      <c r="AM41" s="368"/>
      <c r="AN41" s="369"/>
      <c r="AO41" s="367" t="str">
        <f>IF(BK46="","",ROUND(IF(BK$63&lt;ROUNDDOWN(税率・条件!$C$8/12,0),BK45+BK46,BK45*(((税率・条件!$C$8/12)-BK$62)/BK$61)+BK46),0))</f>
        <v/>
      </c>
      <c r="AP41" s="368"/>
      <c r="AQ41" s="369"/>
      <c r="AR41" s="411" t="str">
        <f>IF(X4="","",SUM(Z41:AQ41))</f>
        <v/>
      </c>
      <c r="AS41" s="412"/>
      <c r="AT41" s="413"/>
      <c r="AU41" s="156"/>
      <c r="AV41" s="154"/>
      <c r="AW41" s="129"/>
    </row>
    <row r="42" spans="2:66" ht="18.95" customHeight="1" x14ac:dyDescent="0.15">
      <c r="B42" s="29">
        <v>4100000</v>
      </c>
      <c r="C42" s="46">
        <v>85</v>
      </c>
      <c r="D42" s="29">
        <v>685000</v>
      </c>
      <c r="P42" s="421"/>
      <c r="Q42" s="421"/>
      <c r="R42" s="421"/>
      <c r="S42" s="421"/>
      <c r="T42" s="421"/>
      <c r="U42" s="421"/>
      <c r="V42" s="421"/>
      <c r="X42" s="34" t="str">
        <f t="shared" ref="X42:Y48" si="64">X27</f>
        <v>２</v>
      </c>
      <c r="Y42" s="35" t="str">
        <f t="shared" si="64"/>
        <v/>
      </c>
      <c r="Z42" s="123" t="str">
        <f>IF(AZ48="","",ROUND(IF(AZ$63&lt;ROUNDDOWN(税率・条件!$C$8/12,0),AZ47+AZ48,AZ47*(((税率・条件!$C$8/12)-AZ$62)/AZ$61)+AZ48),0))</f>
        <v/>
      </c>
      <c r="AA42" s="172" t="str">
        <f>IF(BA48="","",ROUND(IF(BA$63&lt;ROUNDDOWN(税率・条件!$C$8/12,0),BA47+BA48,BA47*(((税率・条件!$C$8/12)-BA$62)/BA$61)+BA48),0))</f>
        <v/>
      </c>
      <c r="AB42" s="172" t="str">
        <f>IF(BB48="","",ROUND(IF(BB$63&lt;ROUNDDOWN(税率・条件!$C$8/12,0),BB47+BB48,BB47*(((税率・条件!$C$8/12)-BB$62)/BB$61)+BB48),0))</f>
        <v/>
      </c>
      <c r="AC42" s="172" t="str">
        <f>IF(BC48="","",ROUND(IF(BC$63&lt;ROUNDDOWN(税率・条件!$C$8/12,0),BC47+BC48,BC47*(((税率・条件!$C$8/12)-BC$62)/BC$61)+BC48),0))</f>
        <v/>
      </c>
      <c r="AD42" s="172" t="str">
        <f>IF(BD48="","",ROUND(IF(BD$63&lt;ROUNDDOWN(税率・条件!$C$8/12,0),BD47+BD48,BD47*(((税率・条件!$C$8/12)-BD$62)/BD$61)+BD48),0))</f>
        <v/>
      </c>
      <c r="AE42" s="172" t="str">
        <f>IF(BE48="","",ROUND(IF(BE$63&lt;ROUNDDOWN(税率・条件!$C$8/12,0),BE47+BE48,BE47*(((税率・条件!$C$8/12)-BE$62)/BE$61)+BE48),0))</f>
        <v/>
      </c>
      <c r="AF42" s="172" t="str">
        <f>IF(BF48="","",ROUND(IF(BF$63&lt;ROUNDDOWN(税率・条件!$C$8/12,0),BF47+BF48,BF47*(((税率・条件!$C$8/12)-BF$62)/BF$61)+BF48),0))</f>
        <v/>
      </c>
      <c r="AG42" s="172" t="str">
        <f>IF(BG48="","",ROUND(IF(BG$63&lt;ROUNDDOWN(税率・条件!$C$8/12,0),BG47+BG48,BG47*(((税率・条件!$C$8/12)-BG$62)/BG$61)+BG48),0))</f>
        <v/>
      </c>
      <c r="AH42" s="172" t="str">
        <f>IF(BH48="","",ROUND(IF(BH$63&lt;ROUNDDOWN(税率・条件!$C$8/12,0),BH47+BH48,BH47*(((税率・条件!$C$8/12)-BH$62)/BH$61)+BH48),0))</f>
        <v/>
      </c>
      <c r="AI42" s="367" t="str">
        <f>IF(BI48="","",ROUND(IF(BI$63&lt;ROUNDDOWN(税率・条件!$C$8/12,0),BI47+BI48,BI47*(((税率・条件!$C$8/12)-BI$62)/BI$61)+BI48),0))</f>
        <v/>
      </c>
      <c r="AJ42" s="368"/>
      <c r="AK42" s="369"/>
      <c r="AL42" s="367" t="str">
        <f>IF(BJ48="","",ROUND(IF(BJ$63&lt;ROUNDDOWN(税率・条件!$C$8/12,0),BJ47+BJ48,BJ47*(((税率・条件!$C$8/12)-BJ$62)/BJ$61)+BJ48),0))</f>
        <v/>
      </c>
      <c r="AM42" s="368"/>
      <c r="AN42" s="369"/>
      <c r="AO42" s="367" t="str">
        <f>IF(BK48="","",ROUND(IF(BK$63&lt;ROUNDDOWN(税率・条件!$C$8/12,0),BK47+BK48,BK47*(((税率・条件!$C$8/12)-BK$62)/BK$61)+BK48),0))</f>
        <v/>
      </c>
      <c r="AP42" s="368"/>
      <c r="AQ42" s="369"/>
      <c r="AR42" s="411" t="str">
        <f>IF(X6="","",SUM(Z42:AQ42))</f>
        <v/>
      </c>
      <c r="AS42" s="412"/>
      <c r="AT42" s="413"/>
      <c r="AU42" s="156"/>
      <c r="AV42" s="154"/>
      <c r="AW42" s="129"/>
      <c r="AY42" s="164" t="s">
        <v>189</v>
      </c>
    </row>
    <row r="43" spans="2:66" ht="18.95" customHeight="1" x14ac:dyDescent="0.15">
      <c r="B43" s="29">
        <v>7700000</v>
      </c>
      <c r="C43" s="46">
        <v>95</v>
      </c>
      <c r="D43" s="29">
        <v>1455000</v>
      </c>
      <c r="J43" s="203"/>
      <c r="K43" s="203"/>
      <c r="P43" s="421"/>
      <c r="Q43" s="421"/>
      <c r="R43" s="421"/>
      <c r="S43" s="421"/>
      <c r="T43" s="421"/>
      <c r="U43" s="421"/>
      <c r="V43" s="421"/>
      <c r="X43" s="34" t="str">
        <f t="shared" si="64"/>
        <v>３</v>
      </c>
      <c r="Y43" s="35" t="str">
        <f t="shared" si="64"/>
        <v/>
      </c>
      <c r="Z43" s="123" t="str">
        <f>IF(AZ50="","",ROUND(IF(AZ$63&lt;ROUNDDOWN(税率・条件!$C$8/12,0),AZ49+AZ50,AZ49*(((税率・条件!$C$8/12)-AZ$62)/AZ$61)+AZ50),0))</f>
        <v/>
      </c>
      <c r="AA43" s="172" t="str">
        <f>IF(BA50="","",ROUND(IF(BA$63&lt;ROUNDDOWN(税率・条件!$C$8/12,0),BA49+BA50,BA49*(((税率・条件!$C$8/12)-BA$62)/BA$61)+BA50),0))</f>
        <v/>
      </c>
      <c r="AB43" s="172" t="str">
        <f>IF(BB50="","",ROUND(IF(BB$63&lt;ROUNDDOWN(税率・条件!$C$8/12,0),BB49+BB50,BB49*(((税率・条件!$C$8/12)-BB$62)/BB$61)+BB50),0))</f>
        <v/>
      </c>
      <c r="AC43" s="172" t="str">
        <f>IF(BC50="","",ROUND(IF(BC$63&lt;ROUNDDOWN(税率・条件!$C$8/12,0),BC49+BC50,BC49*(((税率・条件!$C$8/12)-BC$62)/BC$61)+BC50),0))</f>
        <v/>
      </c>
      <c r="AD43" s="172" t="str">
        <f>IF(BD50="","",ROUND(IF(BD$63&lt;ROUNDDOWN(税率・条件!$C$8/12,0),BD49+BD50,BD49*(((税率・条件!$C$8/12)-BD$62)/BD$61)+BD50),0))</f>
        <v/>
      </c>
      <c r="AE43" s="172" t="str">
        <f>IF(BE50="","",ROUND(IF(BE$63&lt;ROUNDDOWN(税率・条件!$C$8/12,0),BE49+BE50,BE49*(((税率・条件!$C$8/12)-BE$62)/BE$61)+BE50),0))</f>
        <v/>
      </c>
      <c r="AF43" s="172" t="str">
        <f>IF(BF50="","",ROUND(IF(BF$63&lt;ROUNDDOWN(税率・条件!$C$8/12,0),BF49+BF50,BF49*(((税率・条件!$C$8/12)-BF$62)/BF$61)+BF50),0))</f>
        <v/>
      </c>
      <c r="AG43" s="172" t="str">
        <f>IF(BG50="","",ROUND(IF(BG$63&lt;ROUNDDOWN(税率・条件!$C$8/12,0),BG49+BG50,BG49*(((税率・条件!$C$8/12)-BG$62)/BG$61)+BG50),0))</f>
        <v/>
      </c>
      <c r="AH43" s="172" t="str">
        <f>IF(BH50="","",ROUND(IF(BH$63&lt;ROUNDDOWN(税率・条件!$C$8/12,0),BH49+BH50,BH49*(((税率・条件!$C$8/12)-BH$62)/BH$61)+BH50),0))</f>
        <v/>
      </c>
      <c r="AI43" s="367" t="str">
        <f>IF(BI50="","",ROUND(IF(BI$63&lt;ROUNDDOWN(税率・条件!$C$8/12,0),BI49+BI50,BI49*(((税率・条件!$C$8/12)-BI$62)/BI$61)+BI50),0))</f>
        <v/>
      </c>
      <c r="AJ43" s="368"/>
      <c r="AK43" s="369"/>
      <c r="AL43" s="367" t="str">
        <f>IF(BJ50="","",ROUND(IF(BJ$63&lt;ROUNDDOWN(税率・条件!$C$8/12,0),BJ49+BJ50,BJ49*(((税率・条件!$C$8/12)-BJ$62)/BJ$61)+BJ50),0))</f>
        <v/>
      </c>
      <c r="AM43" s="368"/>
      <c r="AN43" s="369"/>
      <c r="AO43" s="367" t="str">
        <f>IF(BK50="","",ROUND(IF(BK$63&lt;ROUNDDOWN(税率・条件!$C$8/12,0),BK49+BK50,BK49*(((税率・条件!$C$8/12)-BK$62)/BK$61)+BK50),0))</f>
        <v/>
      </c>
      <c r="AP43" s="368"/>
      <c r="AQ43" s="369"/>
      <c r="AR43" s="411" t="str">
        <f>IF(X8="","",SUM(Z43:AQ43))</f>
        <v/>
      </c>
      <c r="AS43" s="412"/>
      <c r="AT43" s="413"/>
      <c r="AU43" s="156"/>
      <c r="AV43" s="154"/>
      <c r="AW43" s="129"/>
      <c r="AZ43" s="1" t="s">
        <v>147</v>
      </c>
    </row>
    <row r="44" spans="2:66" ht="18.95" customHeight="1" x14ac:dyDescent="0.15">
      <c r="B44" s="29">
        <v>10000001</v>
      </c>
      <c r="C44" s="46">
        <v>100</v>
      </c>
      <c r="D44" s="29">
        <v>1955000</v>
      </c>
      <c r="I44" s="203"/>
      <c r="J44" s="203"/>
      <c r="K44" s="203"/>
      <c r="P44" s="421"/>
      <c r="Q44" s="421"/>
      <c r="R44" s="421"/>
      <c r="S44" s="421"/>
      <c r="T44" s="421"/>
      <c r="U44" s="421"/>
      <c r="V44" s="421"/>
      <c r="X44" s="34" t="str">
        <f t="shared" si="64"/>
        <v>４</v>
      </c>
      <c r="Y44" s="35" t="str">
        <f t="shared" si="64"/>
        <v/>
      </c>
      <c r="Z44" s="123" t="str">
        <f>IF(AZ52="","",ROUND(IF(AZ$63&lt;ROUNDDOWN(税率・条件!$C$8/12,0),AZ51+AZ52,AZ51*(((税率・条件!$C$8/12)-AZ$62)/AZ$61)+AZ52),0))</f>
        <v/>
      </c>
      <c r="AA44" s="172" t="str">
        <f>IF(BA52="","",ROUND(IF(BA$63&lt;ROUNDDOWN(税率・条件!$C$8/12,0),BA51+BA52,BA51*(((税率・条件!$C$8/12)-BA$62)/BA$61)+BA52),0))</f>
        <v/>
      </c>
      <c r="AB44" s="172" t="str">
        <f>IF(BB52="","",ROUND(IF(BB$63&lt;ROUNDDOWN(税率・条件!$C$8/12,0),BB51+BB52,BB51*(((税率・条件!$C$8/12)-BB$62)/BB$61)+BB52),0))</f>
        <v/>
      </c>
      <c r="AC44" s="172" t="str">
        <f>IF(BC52="","",ROUND(IF(BC$63&lt;ROUNDDOWN(税率・条件!$C$8/12,0),BC51+BC52,BC51*(((税率・条件!$C$8/12)-BC$62)/BC$61)+BC52),0))</f>
        <v/>
      </c>
      <c r="AD44" s="172" t="str">
        <f>IF(BD52="","",ROUND(IF(BD$63&lt;ROUNDDOWN(税率・条件!$C$8/12,0),BD51+BD52,BD51*(((税率・条件!$C$8/12)-BD$62)/BD$61)+BD52),0))</f>
        <v/>
      </c>
      <c r="AE44" s="172" t="str">
        <f>IF(BE52="","",ROUND(IF(BE$63&lt;ROUNDDOWN(税率・条件!$C$8/12,0),BE51+BE52,BE51*(((税率・条件!$C$8/12)-BE$62)/BE$61)+BE52),0))</f>
        <v/>
      </c>
      <c r="AF44" s="172" t="str">
        <f>IF(BF52="","",ROUND(IF(BF$63&lt;ROUNDDOWN(税率・条件!$C$8/12,0),BF51+BF52,BF51*(((税率・条件!$C$8/12)-BF$62)/BF$61)+BF52),0))</f>
        <v/>
      </c>
      <c r="AG44" s="172" t="str">
        <f>IF(BG52="","",ROUND(IF(BG$63&lt;ROUNDDOWN(税率・条件!$C$8/12,0),BG51+BG52,BG51*(((税率・条件!$C$8/12)-BG$62)/BG$61)+BG52),0))</f>
        <v/>
      </c>
      <c r="AH44" s="172" t="str">
        <f>IF(BH52="","",ROUND(IF(BH$63&lt;ROUNDDOWN(税率・条件!$C$8/12,0),BH51+BH52,BH51*(((税率・条件!$C$8/12)-BH$62)/BH$61)+BH52),0))</f>
        <v/>
      </c>
      <c r="AI44" s="367" t="str">
        <f>IF(BI52="","",ROUND(IF(BI$63&lt;ROUNDDOWN(税率・条件!$C$8/12,0),BI51+BI52,BI51*(((税率・条件!$C$8/12)-BI$62)/BI$61)+BI52),0))</f>
        <v/>
      </c>
      <c r="AJ44" s="368"/>
      <c r="AK44" s="369"/>
      <c r="AL44" s="367" t="str">
        <f>IF(BJ52="","",ROUND(IF(BJ$63&lt;ROUNDDOWN(税率・条件!$C$8/12,0),BJ51+BJ52,BJ51*(((税率・条件!$C$8/12)-BJ$62)/BJ$61)+BJ52),0))</f>
        <v/>
      </c>
      <c r="AM44" s="368"/>
      <c r="AN44" s="369"/>
      <c r="AO44" s="367" t="str">
        <f>IF(BK52="","",ROUND(IF(BK$63&lt;ROUNDDOWN(税率・条件!$C$8/12,0),BK51+BK52,BK51*(((税率・条件!$C$8/12)-BK$62)/BK$61)+BK52),0))</f>
        <v/>
      </c>
      <c r="AP44" s="368"/>
      <c r="AQ44" s="369"/>
      <c r="AR44" s="411" t="str">
        <f>IF(X10="","",SUM(Z44:AQ44))</f>
        <v/>
      </c>
      <c r="AS44" s="412"/>
      <c r="AT44" s="413"/>
      <c r="AU44" s="156"/>
      <c r="AV44" s="154"/>
      <c r="AW44" s="129"/>
      <c r="AY44" s="3"/>
      <c r="AZ44" s="88">
        <v>4</v>
      </c>
      <c r="BA44" s="88">
        <v>5</v>
      </c>
      <c r="BB44" s="88">
        <v>6</v>
      </c>
      <c r="BC44" s="88">
        <v>7</v>
      </c>
      <c r="BD44" s="88">
        <v>8</v>
      </c>
      <c r="BE44" s="88">
        <v>9</v>
      </c>
      <c r="BF44" s="88">
        <v>10</v>
      </c>
      <c r="BG44" s="88">
        <v>11</v>
      </c>
      <c r="BH44" s="88">
        <v>12</v>
      </c>
      <c r="BI44" s="88">
        <v>1</v>
      </c>
      <c r="BJ44" s="88">
        <v>2</v>
      </c>
      <c r="BK44" s="88">
        <v>3</v>
      </c>
    </row>
    <row r="45" spans="2:66" ht="18.95" customHeight="1" x14ac:dyDescent="0.15">
      <c r="B45" s="73"/>
      <c r="C45" s="74"/>
      <c r="D45" s="73"/>
      <c r="I45" s="204"/>
      <c r="J45" s="204"/>
      <c r="K45" s="204"/>
      <c r="O45" s="70"/>
      <c r="U45" s="204"/>
      <c r="X45" s="34" t="str">
        <f t="shared" si="64"/>
        <v>５</v>
      </c>
      <c r="Y45" s="35" t="str">
        <f t="shared" si="64"/>
        <v/>
      </c>
      <c r="Z45" s="123" t="str">
        <f>IF(AZ54="","",ROUND(IF(AZ$63&lt;ROUNDDOWN(税率・条件!$C$8/12,0),AZ53+AZ54,AZ53*(((税率・条件!$C$8/12)-AZ$62)/AZ$61)+AZ54),0))</f>
        <v/>
      </c>
      <c r="AA45" s="172" t="str">
        <f>IF(BA54="","",ROUND(IF(BA$63&lt;ROUNDDOWN(税率・条件!$C$8/12,0),BA53+BA54,BA53*(((税率・条件!$C$8/12)-BA$62)/BA$61)+BA54),0))</f>
        <v/>
      </c>
      <c r="AB45" s="172" t="str">
        <f>IF(BB54="","",ROUND(IF(BB$63&lt;ROUNDDOWN(税率・条件!$C$8/12,0),BB53+BB54,BB53*(((税率・条件!$C$8/12)-BB$62)/BB$61)+BB54),0))</f>
        <v/>
      </c>
      <c r="AC45" s="172" t="str">
        <f>IF(BC54="","",ROUND(IF(BC$63&lt;ROUNDDOWN(税率・条件!$C$8/12,0),BC53+BC54,BC53*(((税率・条件!$C$8/12)-BC$62)/BC$61)+BC54),0))</f>
        <v/>
      </c>
      <c r="AD45" s="172" t="str">
        <f>IF(BD54="","",ROUND(IF(BD$63&lt;ROUNDDOWN(税率・条件!$C$8/12,0),BD53+BD54,BD53*(((税率・条件!$C$8/12)-BD$62)/BD$61)+BD54),0))</f>
        <v/>
      </c>
      <c r="AE45" s="172" t="str">
        <f>IF(BE54="","",ROUND(IF(BE$63&lt;ROUNDDOWN(税率・条件!$C$8/12,0),BE53+BE54,BE53*(((税率・条件!$C$8/12)-BE$62)/BE$61)+BE54),0))</f>
        <v/>
      </c>
      <c r="AF45" s="172" t="str">
        <f>IF(BF54="","",ROUND(IF(BF$63&lt;ROUNDDOWN(税率・条件!$C$8/12,0),BF53+BF54,BF53*(((税率・条件!$C$8/12)-BF$62)/BF$61)+BF54),0))</f>
        <v/>
      </c>
      <c r="AG45" s="172" t="str">
        <f>IF(BG54="","",ROUND(IF(BG$63&lt;ROUNDDOWN(税率・条件!$C$8/12,0),BG53+BG54,BG53*(((税率・条件!$C$8/12)-BG$62)/BG$61)+BG54),0))</f>
        <v/>
      </c>
      <c r="AH45" s="172" t="str">
        <f>IF(BH54="","",ROUND(IF(BH$63&lt;ROUNDDOWN(税率・条件!$C$8/12,0),BH53+BH54,BH53*(((税率・条件!$C$8/12)-BH$62)/BH$61)+BH54),0))</f>
        <v/>
      </c>
      <c r="AI45" s="367" t="str">
        <f>IF(BI54="","",ROUND(IF(BI$63&lt;ROUNDDOWN(税率・条件!$C$8/12,0),BI53+BI54,BI53*(((税率・条件!$C$8/12)-BI$62)/BI$61)+BI54),0))</f>
        <v/>
      </c>
      <c r="AJ45" s="368"/>
      <c r="AK45" s="369"/>
      <c r="AL45" s="367" t="str">
        <f>IF(BJ54="","",ROUND(IF(BJ$63&lt;ROUNDDOWN(税率・条件!$C$8/12,0),BJ53+BJ54,BJ53*(((税率・条件!$C$8/12)-BJ$62)/BJ$61)+BJ54),0))</f>
        <v/>
      </c>
      <c r="AM45" s="368"/>
      <c r="AN45" s="369"/>
      <c r="AO45" s="367" t="str">
        <f>IF(BK54="","",ROUND(IF(BK$63&lt;ROUNDDOWN(税率・条件!$C$8/12,0),BK53+BK54,BK53*(((税率・条件!$C$8/12)-BK$62)/BK$61)+BK54),0))</f>
        <v/>
      </c>
      <c r="AP45" s="368"/>
      <c r="AQ45" s="369"/>
      <c r="AR45" s="411" t="str">
        <f>IF(X12="","",SUM(Z45:AQ45))</f>
        <v/>
      </c>
      <c r="AS45" s="412"/>
      <c r="AT45" s="413"/>
      <c r="AU45" s="156"/>
      <c r="AV45" s="154"/>
      <c r="AW45" s="129"/>
      <c r="AY45" s="150" t="s">
        <v>151</v>
      </c>
      <c r="AZ45" s="145" t="str">
        <f t="shared" ref="AZ45:BK45" si="65">IF(AND(AJ4="",AJ20=1),0,IF(AJ4="","",ROUND((SUM($T4:$U5)/12),0)))</f>
        <v/>
      </c>
      <c r="BA45" s="145" t="str">
        <f t="shared" si="65"/>
        <v/>
      </c>
      <c r="BB45" s="145" t="str">
        <f t="shared" si="65"/>
        <v/>
      </c>
      <c r="BC45" s="145" t="str">
        <f t="shared" si="65"/>
        <v/>
      </c>
      <c r="BD45" s="145" t="str">
        <f t="shared" si="65"/>
        <v/>
      </c>
      <c r="BE45" s="145" t="str">
        <f t="shared" si="65"/>
        <v/>
      </c>
      <c r="BF45" s="145" t="str">
        <f t="shared" si="65"/>
        <v/>
      </c>
      <c r="BG45" s="145" t="str">
        <f t="shared" si="65"/>
        <v/>
      </c>
      <c r="BH45" s="145" t="str">
        <f t="shared" si="65"/>
        <v/>
      </c>
      <c r="BI45" s="145" t="str">
        <f t="shared" si="65"/>
        <v/>
      </c>
      <c r="BJ45" s="145" t="str">
        <f t="shared" si="65"/>
        <v/>
      </c>
      <c r="BK45" s="145" t="str">
        <f t="shared" si="65"/>
        <v/>
      </c>
    </row>
    <row r="46" spans="2:66" ht="18.95" customHeight="1" x14ac:dyDescent="0.15">
      <c r="B46" s="1" t="s">
        <v>22</v>
      </c>
      <c r="N46" s="86"/>
      <c r="X46" s="34" t="str">
        <f t="shared" si="64"/>
        <v>６</v>
      </c>
      <c r="Y46" s="35" t="str">
        <f t="shared" si="64"/>
        <v/>
      </c>
      <c r="Z46" s="123" t="str">
        <f>IF(AZ56="","",ROUND(IF(AZ$63&lt;ROUNDDOWN(税率・条件!$C$8/12,0),AZ55+AZ56,AZ55*(((税率・条件!$C$8/12)-AZ$62)/AZ$61)+AZ56),0))</f>
        <v/>
      </c>
      <c r="AA46" s="172" t="str">
        <f>IF(BA56="","",ROUND(IF(BA$63&lt;ROUNDDOWN(税率・条件!$C$8/12,0),BA55+BA56,BA55*(((税率・条件!$C$8/12)-BA$62)/BA$61)+BA56),0))</f>
        <v/>
      </c>
      <c r="AB46" s="172" t="str">
        <f>IF(BB56="","",ROUND(IF(BB$63&lt;ROUNDDOWN(税率・条件!$C$8/12,0),BB55+BB56,BB55*(((税率・条件!$C$8/12)-BB$62)/BB$61)+BB56),0))</f>
        <v/>
      </c>
      <c r="AC46" s="172" t="str">
        <f>IF(BC56="","",ROUND(IF(BC$63&lt;ROUNDDOWN(税率・条件!$C$8/12,0),BC55+BC56,BC55*(((税率・条件!$C$8/12)-BC$62)/BC$61)+BC56),0))</f>
        <v/>
      </c>
      <c r="AD46" s="172" t="str">
        <f>IF(BD56="","",ROUND(IF(BD$63&lt;ROUNDDOWN(税率・条件!$C$8/12,0),BD55+BD56,BD55*(((税率・条件!$C$8/12)-BD$62)/BD$61)+BD56),0))</f>
        <v/>
      </c>
      <c r="AE46" s="172" t="str">
        <f>IF(BE56="","",ROUND(IF(BE$63&lt;ROUNDDOWN(税率・条件!$C$8/12,0),BE55+BE56,BE55*(((税率・条件!$C$8/12)-BE$62)/BE$61)+BE56),0))</f>
        <v/>
      </c>
      <c r="AF46" s="172" t="str">
        <f>IF(BF56="","",ROUND(IF(BF$63&lt;ROUNDDOWN(税率・条件!$C$8/12,0),BF55+BF56,BF55*(((税率・条件!$C$8/12)-BF$62)/BF$61)+BF56),0))</f>
        <v/>
      </c>
      <c r="AG46" s="172" t="str">
        <f>IF(BG56="","",ROUND(IF(BG$63&lt;ROUNDDOWN(税率・条件!$C$8/12,0),BG55+BG56,BG55*(((税率・条件!$C$8/12)-BG$62)/BG$61)+BG56),0))</f>
        <v/>
      </c>
      <c r="AH46" s="172" t="str">
        <f>IF(BH56="","",ROUND(IF(BH$63&lt;ROUNDDOWN(税率・条件!$C$8/12,0),BH55+BH56,BH55*(((税率・条件!$C$8/12)-BH$62)/BH$61)+BH56),0))</f>
        <v/>
      </c>
      <c r="AI46" s="367" t="str">
        <f>IF(BI56="","",ROUND(IF(BI$63&lt;ROUNDDOWN(税率・条件!$C$8/12,0),BI55+BI56,BI55*(((税率・条件!$C$8/12)-BI$62)/BI$61)+BI56),0))</f>
        <v/>
      </c>
      <c r="AJ46" s="368"/>
      <c r="AK46" s="369"/>
      <c r="AL46" s="367" t="str">
        <f>IF(BJ56="","",ROUND(IF(BJ$63&lt;ROUNDDOWN(税率・条件!$C$8/12,0),BJ55+BJ56,BJ55*(((税率・条件!$C$8/12)-BJ$62)/BJ$61)+BJ56),0))</f>
        <v/>
      </c>
      <c r="AM46" s="368"/>
      <c r="AN46" s="369"/>
      <c r="AO46" s="367" t="str">
        <f>IF(BK56="","",ROUND(IF(BK$63&lt;ROUNDDOWN(税率・条件!$C$8/12,0),BK55+BK56,BK55*(((税率・条件!$C$8/12)-BK$62)/BK$61)+BK56),0))</f>
        <v/>
      </c>
      <c r="AP46" s="368"/>
      <c r="AQ46" s="369"/>
      <c r="AR46" s="411" t="str">
        <f>IF(X14="","",SUM(Z46:AQ46))</f>
        <v/>
      </c>
      <c r="AS46" s="412"/>
      <c r="AT46" s="413"/>
      <c r="AU46" s="156"/>
      <c r="AV46" s="154"/>
      <c r="AW46" s="129"/>
      <c r="AY46" s="151" t="s">
        <v>152</v>
      </c>
      <c r="AZ46" s="147" t="str">
        <f t="shared" ref="AZ46:BK46" si="66">IF(AJ4="",IF(AJ20="","",ROUND(SUM($W4:$W5)/12,0)),ROUND(SUM($V4:$W5)/12,0))</f>
        <v/>
      </c>
      <c r="BA46" s="147" t="str">
        <f t="shared" si="66"/>
        <v/>
      </c>
      <c r="BB46" s="147" t="str">
        <f t="shared" si="66"/>
        <v/>
      </c>
      <c r="BC46" s="147" t="str">
        <f t="shared" si="66"/>
        <v/>
      </c>
      <c r="BD46" s="147" t="str">
        <f t="shared" si="66"/>
        <v/>
      </c>
      <c r="BE46" s="147" t="str">
        <f t="shared" si="66"/>
        <v/>
      </c>
      <c r="BF46" s="147" t="str">
        <f t="shared" si="66"/>
        <v/>
      </c>
      <c r="BG46" s="147" t="str">
        <f t="shared" si="66"/>
        <v/>
      </c>
      <c r="BH46" s="147" t="str">
        <f t="shared" si="66"/>
        <v/>
      </c>
      <c r="BI46" s="147" t="str">
        <f t="shared" si="66"/>
        <v/>
      </c>
      <c r="BJ46" s="147" t="str">
        <f t="shared" si="66"/>
        <v/>
      </c>
      <c r="BK46" s="147" t="str">
        <f t="shared" si="66"/>
        <v/>
      </c>
    </row>
    <row r="47" spans="2:66" ht="18.95" customHeight="1" x14ac:dyDescent="0.15">
      <c r="B47" s="46" t="s">
        <v>18</v>
      </c>
      <c r="C47" s="106" t="s">
        <v>13</v>
      </c>
      <c r="D47" s="106" t="s">
        <v>20</v>
      </c>
      <c r="L47" s="422" t="str">
        <f>IF(OR(AW20="",M33&lt;&gt;"申告有"),"",IF(AI20=IF(AU20=1,AU3+12,IF(AT20=1,AT3+12,IF(AS20=1,AS3+12,IF(AR20=1,AR3,IF(AQ20=1,AQ3,IF(AP20=1,AP3,IF(AO20=1,AO3,IF(AN20=1,AN3,IF(AM20=1,AM3,IF(AL20=1,AL3,IF(AK20=1,AK3,IF(AJ20=1,AJ3,""))))))))))))-IF(AW20&lt;4,AW20+12,AW20)+1,"","※ 注意！！！"&amp;CHAR(10)&amp;"年度途中で中抜け期間があります。再加入時の軽減率が異なる場合があります。"))</f>
        <v/>
      </c>
      <c r="M47" s="423"/>
      <c r="N47" s="423"/>
      <c r="O47" s="423"/>
      <c r="P47" s="423"/>
      <c r="Q47" s="423"/>
      <c r="R47" s="423"/>
      <c r="S47" s="423"/>
      <c r="T47" s="423"/>
      <c r="X47" s="34" t="str">
        <f t="shared" si="64"/>
        <v>７</v>
      </c>
      <c r="Y47" s="35" t="str">
        <f t="shared" si="64"/>
        <v/>
      </c>
      <c r="Z47" s="123" t="str">
        <f>IF(AZ58="","",ROUND(IF(AZ$63&lt;ROUNDDOWN(税率・条件!$C$8/12,0),AZ57+AZ58,AZ57*(((税率・条件!$C$8/12)-AZ$62)/AZ$61)+AZ58),0))</f>
        <v/>
      </c>
      <c r="AA47" s="172" t="str">
        <f>IF(BA58="","",ROUND(IF(BA$63&lt;ROUNDDOWN(税率・条件!$C$8/12,0),BA57+BA58,BA57*(((税率・条件!$C$8/12)-BA$62)/BA$61)+BA58),0))</f>
        <v/>
      </c>
      <c r="AB47" s="172" t="str">
        <f>IF(BB58="","",ROUND(IF(BB$63&lt;ROUNDDOWN(税率・条件!$C$8/12,0),BB57+BB58,BB57*(((税率・条件!$C$8/12)-BB$62)/BB$61)+BB58),0))</f>
        <v/>
      </c>
      <c r="AC47" s="172" t="str">
        <f>IF(BC58="","",ROUND(IF(BC$63&lt;ROUNDDOWN(税率・条件!$C$8/12,0),BC57+BC58,BC57*(((税率・条件!$C$8/12)-BC$62)/BC$61)+BC58),0))</f>
        <v/>
      </c>
      <c r="AD47" s="172" t="str">
        <f>IF(BD58="","",ROUND(IF(BD$63&lt;ROUNDDOWN(税率・条件!$C$8/12,0),BD57+BD58,BD57*(((税率・条件!$C$8/12)-BD$62)/BD$61)+BD58),0))</f>
        <v/>
      </c>
      <c r="AE47" s="172" t="str">
        <f>IF(BE58="","",ROUND(IF(BE$63&lt;ROUNDDOWN(税率・条件!$C$8/12,0),BE57+BE58,BE57*(((税率・条件!$C$8/12)-BE$62)/BE$61)+BE58),0))</f>
        <v/>
      </c>
      <c r="AF47" s="172" t="str">
        <f>IF(BF58="","",ROUND(IF(BF$63&lt;ROUNDDOWN(税率・条件!$C$8/12,0),BF57+BF58,BF57*(((税率・条件!$C$8/12)-BF$62)/BF$61)+BF58),0))</f>
        <v/>
      </c>
      <c r="AG47" s="172" t="str">
        <f>IF(BG58="","",ROUND(IF(BG$63&lt;ROUNDDOWN(税率・条件!$C$8/12,0),BG57+BG58,BG57*(((税率・条件!$C$8/12)-BG$62)/BG$61)+BG58),0))</f>
        <v/>
      </c>
      <c r="AH47" s="172" t="str">
        <f>IF(BH58="","",ROUND(IF(BH$63&lt;ROUNDDOWN(税率・条件!$C$8/12,0),BH57+BH58,BH57*(((税率・条件!$C$8/12)-BH$62)/BH$61)+BH58),0))</f>
        <v/>
      </c>
      <c r="AI47" s="367" t="str">
        <f>IF(BI58="","",ROUND(IF(BI$63&lt;ROUNDDOWN(税率・条件!$C$8/12,0),BI57+BI58,BI57*(((税率・条件!$C$8/12)-BI$62)/BI$61)+BI58),0))</f>
        <v/>
      </c>
      <c r="AJ47" s="368"/>
      <c r="AK47" s="369"/>
      <c r="AL47" s="367" t="str">
        <f>IF(BJ58="","",ROUND(IF(BJ$63&lt;ROUNDDOWN(税率・条件!$C$8/12,0),BJ57+BJ58,BJ57*(((税率・条件!$C$8/12)-BJ$62)/BJ$61)+BJ58),0))</f>
        <v/>
      </c>
      <c r="AM47" s="368"/>
      <c r="AN47" s="369"/>
      <c r="AO47" s="367" t="str">
        <f>IF(BK58="","",ROUND(IF(BK$63&lt;ROUNDDOWN(税率・条件!$C$8/12,0),BK57+BK58,BK57*(((税率・条件!$C$8/12)-BK$62)/BK$61)+BK58),0))</f>
        <v/>
      </c>
      <c r="AP47" s="368"/>
      <c r="AQ47" s="369"/>
      <c r="AR47" s="411" t="str">
        <f>IF(X16="","",SUM(Z47:AQ47))</f>
        <v/>
      </c>
      <c r="AS47" s="412"/>
      <c r="AT47" s="413"/>
      <c r="AU47" s="156"/>
      <c r="AV47" s="154"/>
      <c r="AW47" s="129"/>
      <c r="AY47" s="150" t="s">
        <v>153</v>
      </c>
      <c r="AZ47" s="145" t="str">
        <f t="shared" ref="AZ47:BK47" si="67">IF(AJ6="","",ROUND((SUM($T6:$U7)/12),0))</f>
        <v/>
      </c>
      <c r="BA47" s="145" t="str">
        <f t="shared" si="67"/>
        <v/>
      </c>
      <c r="BB47" s="145" t="str">
        <f t="shared" si="67"/>
        <v/>
      </c>
      <c r="BC47" s="145" t="str">
        <f t="shared" si="67"/>
        <v/>
      </c>
      <c r="BD47" s="145" t="str">
        <f t="shared" si="67"/>
        <v/>
      </c>
      <c r="BE47" s="145" t="str">
        <f t="shared" si="67"/>
        <v/>
      </c>
      <c r="BF47" s="145" t="str">
        <f t="shared" si="67"/>
        <v/>
      </c>
      <c r="BG47" s="145" t="str">
        <f t="shared" si="67"/>
        <v/>
      </c>
      <c r="BH47" s="145" t="str">
        <f t="shared" si="67"/>
        <v/>
      </c>
      <c r="BI47" s="145" t="str">
        <f t="shared" si="67"/>
        <v/>
      </c>
      <c r="BJ47" s="145" t="str">
        <f t="shared" si="67"/>
        <v/>
      </c>
      <c r="BK47" s="145" t="str">
        <f t="shared" si="67"/>
        <v/>
      </c>
    </row>
    <row r="48" spans="2:66" ht="18.95" customHeight="1" thickBot="1" x14ac:dyDescent="0.2">
      <c r="B48" s="29">
        <v>1</v>
      </c>
      <c r="C48" s="46">
        <v>100</v>
      </c>
      <c r="D48" s="29">
        <v>1100000</v>
      </c>
      <c r="L48" s="423"/>
      <c r="M48" s="423"/>
      <c r="N48" s="423"/>
      <c r="O48" s="423"/>
      <c r="P48" s="423"/>
      <c r="Q48" s="423"/>
      <c r="R48" s="423"/>
      <c r="S48" s="423"/>
      <c r="T48" s="423"/>
      <c r="X48" s="119" t="str">
        <f t="shared" si="64"/>
        <v>８</v>
      </c>
      <c r="Y48" s="120" t="str">
        <f t="shared" si="64"/>
        <v/>
      </c>
      <c r="Z48" s="123" t="str">
        <f>IF(AZ60="","",ROUND(IF(AZ$63&lt;ROUNDDOWN(税率・条件!$C$8/12,0),AZ59+AZ60,AZ59*(((税率・条件!$C$8/12)-AZ$62)/AZ$61)+AZ60),0))</f>
        <v/>
      </c>
      <c r="AA48" s="172" t="str">
        <f>IF(BA60="","",ROUND(IF(BA$63&lt;ROUNDDOWN(税率・条件!$C$8/12,0),BA59+BA60,BA59*(((税率・条件!$C$8/12)-BA$62)/BA$61)+BA60),0))</f>
        <v/>
      </c>
      <c r="AB48" s="172" t="str">
        <f>IF(BB60="","",ROUND(IF(BB$63&lt;ROUNDDOWN(税率・条件!$C$8/12,0),BB59+BB60,BB59*(((税率・条件!$C$8/12)-BB$62)/BB$61)+BB60),0))</f>
        <v/>
      </c>
      <c r="AC48" s="172" t="str">
        <f>IF(BC60="","",ROUND(IF(BC$63&lt;ROUNDDOWN(税率・条件!$C$8/12,0),BC59+BC60,BC59*(((税率・条件!$C$8/12)-BC$62)/BC$61)+BC60),0))</f>
        <v/>
      </c>
      <c r="AD48" s="172" t="str">
        <f>IF(BD60="","",ROUND(IF(BD$63&lt;ROUNDDOWN(税率・条件!$C$8/12,0),BD59+BD60,BD59*(((税率・条件!$C$8/12)-BD$62)/BD$61)+BD60),0))</f>
        <v/>
      </c>
      <c r="AE48" s="172" t="str">
        <f>IF(BE60="","",ROUND(IF(BE$63&lt;ROUNDDOWN(税率・条件!$C$8/12,0),BE59+BE60,BE59*(((税率・条件!$C$8/12)-BE$62)/BE$61)+BE60),0))</f>
        <v/>
      </c>
      <c r="AF48" s="172" t="str">
        <f>IF(BF60="","",ROUND(IF(BF$63&lt;ROUNDDOWN(税率・条件!$C$8/12,0),BF59+BF60,BF59*(((税率・条件!$C$8/12)-BF$62)/BF$61)+BF60),0))</f>
        <v/>
      </c>
      <c r="AG48" s="172" t="str">
        <f>IF(BG60="","",ROUND(IF(BG$63&lt;ROUNDDOWN(税率・条件!$C$8/12,0),BG59+BG60,BG59*(((税率・条件!$C$8/12)-BG$62)/BG$61)+BG60),0))</f>
        <v/>
      </c>
      <c r="AH48" s="172" t="str">
        <f>IF(BH60="","",ROUND(IF(BH$63&lt;ROUNDDOWN(税率・条件!$C$8/12,0),BH59+BH60,BH59*(((税率・条件!$C$8/12)-BH$62)/BH$61)+BH60),0))</f>
        <v/>
      </c>
      <c r="AI48" s="367" t="str">
        <f>IF(BI60="","",ROUND(IF(BI$63&lt;ROUNDDOWN(税率・条件!$C$8/12,0),BI59+BI60,BI59*(((税率・条件!$C$8/12)-BI$62)/BI$61)+BI60),0))</f>
        <v/>
      </c>
      <c r="AJ48" s="368"/>
      <c r="AK48" s="369"/>
      <c r="AL48" s="367" t="str">
        <f>IF(BJ60="","",ROUND(IF(BJ$63&lt;ROUNDDOWN(税率・条件!$C$8/12,0),BJ59+BJ60,BJ59*(((税率・条件!$C$8/12)-BJ$62)/BJ$61)+BJ60),0))</f>
        <v/>
      </c>
      <c r="AM48" s="368"/>
      <c r="AN48" s="369"/>
      <c r="AO48" s="367" t="str">
        <f>IF(BK60="","",ROUND(IF(BK$63&lt;ROUNDDOWN(税率・条件!$C$8/12,0),BK59+BK60,BK59*(((税率・条件!$C$8/12)-BK$62)/BK$61)+BK60),0))</f>
        <v/>
      </c>
      <c r="AP48" s="368"/>
      <c r="AQ48" s="369"/>
      <c r="AR48" s="411" t="str">
        <f>IF(X18="","",SUM(Z48:AQ48))</f>
        <v/>
      </c>
      <c r="AS48" s="412"/>
      <c r="AT48" s="413"/>
      <c r="AU48" s="156"/>
      <c r="AV48" s="154"/>
      <c r="AW48" s="129"/>
      <c r="AY48" s="151" t="s">
        <v>154</v>
      </c>
      <c r="AZ48" s="147" t="str">
        <f t="shared" ref="AZ48:BK48" si="68">IF(AJ6="","",ROUND(SUM($V6:$W7)/12,0))</f>
        <v/>
      </c>
      <c r="BA48" s="147" t="str">
        <f t="shared" si="68"/>
        <v/>
      </c>
      <c r="BB48" s="147" t="str">
        <f t="shared" si="68"/>
        <v/>
      </c>
      <c r="BC48" s="147" t="str">
        <f t="shared" si="68"/>
        <v/>
      </c>
      <c r="BD48" s="147" t="str">
        <f t="shared" si="68"/>
        <v/>
      </c>
      <c r="BE48" s="147" t="str">
        <f t="shared" si="68"/>
        <v/>
      </c>
      <c r="BF48" s="147" t="str">
        <f t="shared" si="68"/>
        <v/>
      </c>
      <c r="BG48" s="147" t="str">
        <f t="shared" si="68"/>
        <v/>
      </c>
      <c r="BH48" s="147" t="str">
        <f t="shared" si="68"/>
        <v/>
      </c>
      <c r="BI48" s="147" t="str">
        <f t="shared" si="68"/>
        <v/>
      </c>
      <c r="BJ48" s="147" t="str">
        <f t="shared" si="68"/>
        <v/>
      </c>
      <c r="BK48" s="147" t="str">
        <f t="shared" si="68"/>
        <v/>
      </c>
    </row>
    <row r="49" spans="2:63" ht="18.95" customHeight="1" thickTop="1" thickBot="1" x14ac:dyDescent="0.2">
      <c r="B49" s="29">
        <v>3300000</v>
      </c>
      <c r="C49" s="46">
        <v>75</v>
      </c>
      <c r="D49" s="29">
        <v>275000</v>
      </c>
      <c r="L49" s="423"/>
      <c r="M49" s="423"/>
      <c r="N49" s="423"/>
      <c r="O49" s="423"/>
      <c r="P49" s="423"/>
      <c r="Q49" s="423"/>
      <c r="R49" s="423"/>
      <c r="S49" s="423"/>
      <c r="T49" s="423"/>
      <c r="X49" s="318" t="s">
        <v>136</v>
      </c>
      <c r="Y49" s="319"/>
      <c r="Z49" s="126">
        <f>SUM(Z41:Z48)</f>
        <v>0</v>
      </c>
      <c r="AA49" s="171">
        <f t="shared" ref="AA49:AH49" si="69">SUM(AA41:AA48)</f>
        <v>0</v>
      </c>
      <c r="AB49" s="171">
        <f t="shared" si="69"/>
        <v>0</v>
      </c>
      <c r="AC49" s="171">
        <f t="shared" si="69"/>
        <v>0</v>
      </c>
      <c r="AD49" s="171">
        <f t="shared" si="69"/>
        <v>0</v>
      </c>
      <c r="AE49" s="171">
        <f t="shared" si="69"/>
        <v>0</v>
      </c>
      <c r="AF49" s="171">
        <f t="shared" si="69"/>
        <v>0</v>
      </c>
      <c r="AG49" s="171">
        <f t="shared" si="69"/>
        <v>0</v>
      </c>
      <c r="AH49" s="171">
        <f t="shared" si="69"/>
        <v>0</v>
      </c>
      <c r="AI49" s="278">
        <f>SUM(AI41:AK48)</f>
        <v>0</v>
      </c>
      <c r="AJ49" s="278"/>
      <c r="AK49" s="278"/>
      <c r="AL49" s="278">
        <f t="shared" ref="AL49" si="70">SUM(AL41:AN48)</f>
        <v>0</v>
      </c>
      <c r="AM49" s="278"/>
      <c r="AN49" s="278"/>
      <c r="AO49" s="279">
        <f t="shared" ref="AO49" si="71">SUM(AO41:AQ48)</f>
        <v>0</v>
      </c>
      <c r="AP49" s="280"/>
      <c r="AQ49" s="281"/>
      <c r="AR49" s="279">
        <f t="shared" ref="AR49" si="72">SUM(AR41:AT48)</f>
        <v>0</v>
      </c>
      <c r="AS49" s="280"/>
      <c r="AT49" s="282"/>
      <c r="AU49" s="156"/>
      <c r="AV49" s="154"/>
      <c r="AW49" s="129"/>
      <c r="AY49" s="150" t="s">
        <v>155</v>
      </c>
      <c r="AZ49" s="145" t="str">
        <f t="shared" ref="AZ49:BK49" si="73">IF(AJ8="","",ROUND((SUM($T8:$U9)/12),0))</f>
        <v/>
      </c>
      <c r="BA49" s="145" t="str">
        <f t="shared" si="73"/>
        <v/>
      </c>
      <c r="BB49" s="145" t="str">
        <f t="shared" si="73"/>
        <v/>
      </c>
      <c r="BC49" s="145" t="str">
        <f t="shared" si="73"/>
        <v/>
      </c>
      <c r="BD49" s="145" t="str">
        <f t="shared" si="73"/>
        <v/>
      </c>
      <c r="BE49" s="145" t="str">
        <f t="shared" si="73"/>
        <v/>
      </c>
      <c r="BF49" s="145" t="str">
        <f t="shared" si="73"/>
        <v/>
      </c>
      <c r="BG49" s="145" t="str">
        <f t="shared" si="73"/>
        <v/>
      </c>
      <c r="BH49" s="145" t="str">
        <f t="shared" si="73"/>
        <v/>
      </c>
      <c r="BI49" s="145" t="str">
        <f t="shared" si="73"/>
        <v/>
      </c>
      <c r="BJ49" s="145" t="str">
        <f t="shared" si="73"/>
        <v/>
      </c>
      <c r="BK49" s="145" t="str">
        <f t="shared" si="73"/>
        <v/>
      </c>
    </row>
    <row r="50" spans="2:63" ht="18.95" customHeight="1" thickTop="1" x14ac:dyDescent="0.15">
      <c r="B50" s="29">
        <v>4100000</v>
      </c>
      <c r="C50" s="46">
        <v>85</v>
      </c>
      <c r="D50" s="29">
        <v>685000</v>
      </c>
      <c r="L50" s="423"/>
      <c r="M50" s="423"/>
      <c r="N50" s="423"/>
      <c r="O50" s="423"/>
      <c r="P50" s="423"/>
      <c r="Q50" s="423"/>
      <c r="R50" s="423"/>
      <c r="S50" s="423"/>
      <c r="T50" s="423"/>
      <c r="Y50" s="157" t="s">
        <v>169</v>
      </c>
      <c r="Z50" s="158" t="str">
        <f>IF(AZ$63&lt;ROUNDDOWN(税率・条件!$C$8/12,0),"","該当")</f>
        <v/>
      </c>
      <c r="AA50" s="158" t="str">
        <f>IF(BA$63&lt;ROUNDDOWN(税率・条件!$C$8/12,0),"","該当")</f>
        <v/>
      </c>
      <c r="AB50" s="158" t="str">
        <f>IF(BB$63&lt;ROUNDDOWN(税率・条件!$C$8/12,0),"","該当")</f>
        <v/>
      </c>
      <c r="AC50" s="158" t="str">
        <f>IF(BC$63&lt;ROUNDDOWN(税率・条件!$C$8/12,0),"","該当")</f>
        <v/>
      </c>
      <c r="AD50" s="158" t="str">
        <f>IF(BD$63&lt;ROUNDDOWN(税率・条件!$C$8/12,0),"","該当")</f>
        <v/>
      </c>
      <c r="AE50" s="158" t="str">
        <f>IF(BE$63&lt;ROUNDDOWN(税率・条件!$C$8/12,0),"","該当")</f>
        <v/>
      </c>
      <c r="AF50" s="158" t="str">
        <f>IF(BF$63&lt;ROUNDDOWN(税率・条件!$C$8/12,0),"","該当")</f>
        <v/>
      </c>
      <c r="AG50" s="158" t="str">
        <f>IF(BG$63&lt;ROUNDDOWN(税率・条件!$C$8/12,0),"","該当")</f>
        <v/>
      </c>
      <c r="AH50" s="158" t="str">
        <f>IF(BH$63&lt;ROUNDDOWN(税率・条件!$C$8/12,0),"","該当")</f>
        <v/>
      </c>
      <c r="AI50" s="283" t="str">
        <f>IF(BI$63&lt;ROUNDDOWN(税率・条件!$C$8/12,0),"","該当")</f>
        <v/>
      </c>
      <c r="AJ50" s="414"/>
      <c r="AK50" s="414"/>
      <c r="AL50" s="283" t="str">
        <f>IF(BJ$63&lt;ROUNDDOWN(税率・条件!$C$8/12,0),"","該当")</f>
        <v/>
      </c>
      <c r="AM50" s="414"/>
      <c r="AN50" s="414"/>
      <c r="AO50" s="283" t="str">
        <f>IF(BK$63&lt;ROUNDDOWN(税率・条件!$C$8/12,0),"","該当")</f>
        <v/>
      </c>
      <c r="AP50" s="414"/>
      <c r="AQ50" s="414"/>
      <c r="AR50" s="415"/>
      <c r="AS50" s="416"/>
      <c r="AT50" s="416"/>
      <c r="AU50" s="28"/>
      <c r="AV50" s="28"/>
      <c r="AW50" s="28"/>
      <c r="AY50" s="151" t="s">
        <v>156</v>
      </c>
      <c r="AZ50" s="147" t="str">
        <f t="shared" ref="AZ50:BK50" si="74">IF(AJ8="","",ROUND(SUM($V8:$W9)/12,0))</f>
        <v/>
      </c>
      <c r="BA50" s="147" t="str">
        <f t="shared" si="74"/>
        <v/>
      </c>
      <c r="BB50" s="147" t="str">
        <f t="shared" si="74"/>
        <v/>
      </c>
      <c r="BC50" s="147" t="str">
        <f t="shared" si="74"/>
        <v/>
      </c>
      <c r="BD50" s="147" t="str">
        <f t="shared" si="74"/>
        <v/>
      </c>
      <c r="BE50" s="147" t="str">
        <f t="shared" si="74"/>
        <v/>
      </c>
      <c r="BF50" s="147" t="str">
        <f t="shared" si="74"/>
        <v/>
      </c>
      <c r="BG50" s="147" t="str">
        <f t="shared" si="74"/>
        <v/>
      </c>
      <c r="BH50" s="147" t="str">
        <f t="shared" si="74"/>
        <v/>
      </c>
      <c r="BI50" s="147" t="str">
        <f t="shared" si="74"/>
        <v/>
      </c>
      <c r="BJ50" s="147" t="str">
        <f t="shared" si="74"/>
        <v/>
      </c>
      <c r="BK50" s="147" t="str">
        <f t="shared" si="74"/>
        <v/>
      </c>
    </row>
    <row r="51" spans="2:63" ht="18.95" customHeight="1" x14ac:dyDescent="0.15">
      <c r="B51" s="29">
        <v>7700000</v>
      </c>
      <c r="C51" s="46">
        <v>95</v>
      </c>
      <c r="D51" s="29">
        <v>1455000</v>
      </c>
      <c r="L51" s="423"/>
      <c r="M51" s="423"/>
      <c r="N51" s="423"/>
      <c r="O51" s="423"/>
      <c r="P51" s="423"/>
      <c r="Q51" s="423"/>
      <c r="R51" s="423"/>
      <c r="S51" s="423"/>
      <c r="T51" s="423"/>
      <c r="AU51" s="28"/>
      <c r="AV51" s="28"/>
      <c r="AW51" s="28"/>
      <c r="AY51" s="150" t="s">
        <v>157</v>
      </c>
      <c r="AZ51" s="145" t="str">
        <f t="shared" ref="AZ51:BK51" si="75">IF(AJ10="","",ROUND((SUM($T10:$U11)/12),0))</f>
        <v/>
      </c>
      <c r="BA51" s="145" t="str">
        <f t="shared" si="75"/>
        <v/>
      </c>
      <c r="BB51" s="145" t="str">
        <f t="shared" si="75"/>
        <v/>
      </c>
      <c r="BC51" s="145" t="str">
        <f t="shared" si="75"/>
        <v/>
      </c>
      <c r="BD51" s="145" t="str">
        <f t="shared" si="75"/>
        <v/>
      </c>
      <c r="BE51" s="145" t="str">
        <f t="shared" si="75"/>
        <v/>
      </c>
      <c r="BF51" s="145" t="str">
        <f t="shared" si="75"/>
        <v/>
      </c>
      <c r="BG51" s="145" t="str">
        <f t="shared" si="75"/>
        <v/>
      </c>
      <c r="BH51" s="145" t="str">
        <f t="shared" si="75"/>
        <v/>
      </c>
      <c r="BI51" s="145" t="str">
        <f t="shared" si="75"/>
        <v/>
      </c>
      <c r="BJ51" s="145" t="str">
        <f t="shared" si="75"/>
        <v/>
      </c>
      <c r="BK51" s="145" t="str">
        <f t="shared" si="75"/>
        <v/>
      </c>
    </row>
    <row r="52" spans="2:63" ht="18.95" customHeight="1" thickBot="1" x14ac:dyDescent="0.2">
      <c r="B52" s="29">
        <v>10000001</v>
      </c>
      <c r="C52" s="46">
        <v>100</v>
      </c>
      <c r="D52" s="29">
        <v>1955000</v>
      </c>
      <c r="L52" s="256"/>
      <c r="M52" s="256"/>
      <c r="N52" s="256"/>
      <c r="O52" s="256"/>
      <c r="P52" s="256"/>
      <c r="Q52" s="256"/>
      <c r="R52" s="256"/>
      <c r="S52" s="256"/>
      <c r="T52" s="256"/>
      <c r="X52" s="1" t="str">
        <f>"支援分各個人月別計（令和"&amp;DBCS(税率・条件!C1)&amp;"年度税率）"</f>
        <v>支援分各個人月別計（令和６年度税率）</v>
      </c>
      <c r="AD52" s="1" t="s">
        <v>196</v>
      </c>
      <c r="AU52" s="28"/>
      <c r="AV52" s="28"/>
      <c r="AW52" s="28"/>
      <c r="AY52" s="151" t="s">
        <v>158</v>
      </c>
      <c r="AZ52" s="147" t="str">
        <f t="shared" ref="AZ52:BK52" si="76">IF(AJ10="","",ROUND(SUM($V10:$W11)/12,0))</f>
        <v/>
      </c>
      <c r="BA52" s="147" t="str">
        <f t="shared" si="76"/>
        <v/>
      </c>
      <c r="BB52" s="147" t="str">
        <f t="shared" si="76"/>
        <v/>
      </c>
      <c r="BC52" s="147" t="str">
        <f t="shared" si="76"/>
        <v/>
      </c>
      <c r="BD52" s="147" t="str">
        <f t="shared" si="76"/>
        <v/>
      </c>
      <c r="BE52" s="147" t="str">
        <f t="shared" si="76"/>
        <v/>
      </c>
      <c r="BF52" s="147" t="str">
        <f t="shared" si="76"/>
        <v/>
      </c>
      <c r="BG52" s="147" t="str">
        <f t="shared" si="76"/>
        <v/>
      </c>
      <c r="BH52" s="147" t="str">
        <f t="shared" si="76"/>
        <v/>
      </c>
      <c r="BI52" s="147" t="str">
        <f t="shared" si="76"/>
        <v/>
      </c>
      <c r="BJ52" s="147" t="str">
        <f t="shared" si="76"/>
        <v/>
      </c>
      <c r="BK52" s="147" t="str">
        <f t="shared" si="76"/>
        <v/>
      </c>
    </row>
    <row r="53" spans="2:63" ht="18.95" customHeight="1" thickTop="1" x14ac:dyDescent="0.15">
      <c r="X53" s="380"/>
      <c r="Y53" s="382" t="s">
        <v>56</v>
      </c>
      <c r="Z53" s="300" t="s">
        <v>55</v>
      </c>
      <c r="AA53" s="301"/>
      <c r="AB53" s="301"/>
      <c r="AC53" s="301"/>
      <c r="AD53" s="301"/>
      <c r="AE53" s="330"/>
      <c r="AF53" s="330"/>
      <c r="AG53" s="330"/>
      <c r="AH53" s="330"/>
      <c r="AI53" s="330"/>
      <c r="AJ53" s="330"/>
      <c r="AK53" s="330"/>
      <c r="AL53" s="330"/>
      <c r="AM53" s="330"/>
      <c r="AN53" s="330"/>
      <c r="AO53" s="330"/>
      <c r="AP53" s="330"/>
      <c r="AQ53" s="330"/>
      <c r="AR53" s="330"/>
      <c r="AS53" s="330"/>
      <c r="AT53" s="331"/>
      <c r="AU53" s="28"/>
      <c r="AV53" s="28"/>
      <c r="AW53" s="125"/>
      <c r="AY53" s="150" t="s">
        <v>159</v>
      </c>
      <c r="AZ53" s="145" t="str">
        <f t="shared" ref="AZ53:BK53" si="77">IF(AJ12="","",ROUND((SUM($T12:$U13)/12),0))</f>
        <v/>
      </c>
      <c r="BA53" s="145" t="str">
        <f t="shared" si="77"/>
        <v/>
      </c>
      <c r="BB53" s="145" t="str">
        <f t="shared" si="77"/>
        <v/>
      </c>
      <c r="BC53" s="145" t="str">
        <f t="shared" si="77"/>
        <v/>
      </c>
      <c r="BD53" s="145" t="str">
        <f t="shared" si="77"/>
        <v/>
      </c>
      <c r="BE53" s="145" t="str">
        <f t="shared" si="77"/>
        <v/>
      </c>
      <c r="BF53" s="145" t="str">
        <f t="shared" si="77"/>
        <v/>
      </c>
      <c r="BG53" s="145" t="str">
        <f t="shared" si="77"/>
        <v/>
      </c>
      <c r="BH53" s="145" t="str">
        <f t="shared" si="77"/>
        <v/>
      </c>
      <c r="BI53" s="145" t="str">
        <f t="shared" si="77"/>
        <v/>
      </c>
      <c r="BJ53" s="145" t="str">
        <f t="shared" si="77"/>
        <v/>
      </c>
      <c r="BK53" s="145" t="str">
        <f t="shared" si="77"/>
        <v/>
      </c>
    </row>
    <row r="54" spans="2:63" ht="18.95" customHeight="1" x14ac:dyDescent="0.15">
      <c r="L54" s="362" t="str">
        <f>IF(入力!C25="軽減なし","","平等割は"&amp;入力!C25&amp;"で計算してます。")</f>
        <v/>
      </c>
      <c r="M54" s="363"/>
      <c r="N54" s="363"/>
      <c r="O54" s="363"/>
      <c r="P54" s="363"/>
      <c r="Q54" s="363"/>
      <c r="R54" s="363"/>
      <c r="S54" s="363"/>
      <c r="T54" s="363"/>
      <c r="X54" s="381"/>
      <c r="Y54" s="383"/>
      <c r="Z54" s="121" t="s">
        <v>123</v>
      </c>
      <c r="AA54" s="122" t="s">
        <v>124</v>
      </c>
      <c r="AB54" s="122" t="s">
        <v>125</v>
      </c>
      <c r="AC54" s="122" t="s">
        <v>126</v>
      </c>
      <c r="AD54" s="122" t="s">
        <v>127</v>
      </c>
      <c r="AE54" s="122" t="s">
        <v>128</v>
      </c>
      <c r="AF54" s="122" t="s">
        <v>129</v>
      </c>
      <c r="AG54" s="122" t="s">
        <v>130</v>
      </c>
      <c r="AH54" s="122" t="s">
        <v>131</v>
      </c>
      <c r="AI54" s="365" t="s">
        <v>132</v>
      </c>
      <c r="AJ54" s="366"/>
      <c r="AK54" s="366"/>
      <c r="AL54" s="365" t="s">
        <v>134</v>
      </c>
      <c r="AM54" s="366"/>
      <c r="AN54" s="366"/>
      <c r="AO54" s="365" t="s">
        <v>135</v>
      </c>
      <c r="AP54" s="366"/>
      <c r="AQ54" s="366"/>
      <c r="AR54" s="365" t="s">
        <v>133</v>
      </c>
      <c r="AS54" s="366"/>
      <c r="AT54" s="384"/>
      <c r="AU54" s="155"/>
      <c r="AV54" s="154"/>
      <c r="AW54" s="129"/>
      <c r="AY54" s="151" t="s">
        <v>160</v>
      </c>
      <c r="AZ54" s="147" t="str">
        <f t="shared" ref="AZ54:BK54" si="78">IF(AJ12="","",ROUND(SUM($V12:$W13)/12,0))</f>
        <v/>
      </c>
      <c r="BA54" s="147" t="str">
        <f t="shared" si="78"/>
        <v/>
      </c>
      <c r="BB54" s="147" t="str">
        <f t="shared" si="78"/>
        <v/>
      </c>
      <c r="BC54" s="147" t="str">
        <f t="shared" si="78"/>
        <v/>
      </c>
      <c r="BD54" s="147" t="str">
        <f t="shared" si="78"/>
        <v/>
      </c>
      <c r="BE54" s="147" t="str">
        <f t="shared" si="78"/>
        <v/>
      </c>
      <c r="BF54" s="147" t="str">
        <f t="shared" si="78"/>
        <v/>
      </c>
      <c r="BG54" s="147" t="str">
        <f t="shared" si="78"/>
        <v/>
      </c>
      <c r="BH54" s="147" t="str">
        <f t="shared" si="78"/>
        <v/>
      </c>
      <c r="BI54" s="147" t="str">
        <f t="shared" si="78"/>
        <v/>
      </c>
      <c r="BJ54" s="147" t="str">
        <f t="shared" si="78"/>
        <v/>
      </c>
      <c r="BK54" s="147" t="str">
        <f t="shared" si="78"/>
        <v/>
      </c>
    </row>
    <row r="55" spans="2:63" ht="18.95" customHeight="1" x14ac:dyDescent="0.15">
      <c r="L55" s="363"/>
      <c r="M55" s="363"/>
      <c r="N55" s="363"/>
      <c r="O55" s="363"/>
      <c r="P55" s="363"/>
      <c r="Q55" s="363"/>
      <c r="R55" s="363"/>
      <c r="S55" s="363"/>
      <c r="T55" s="363"/>
      <c r="X55" s="34">
        <f t="shared" ref="X55:Y62" si="79">X41</f>
        <v>1</v>
      </c>
      <c r="Y55" s="35" t="str">
        <f t="shared" si="79"/>
        <v/>
      </c>
      <c r="Z55" s="123" t="str">
        <f>IF(AZ69="","",ROUND(IF(AZ$86&lt;ROUNDDOWN(税率・条件!$C$13/12,0),AZ68+AZ69,AZ68*(((税率・条件!$C$13/12)-AZ$85)/AZ$84)+AZ69),0))</f>
        <v/>
      </c>
      <c r="AA55" s="124" t="str">
        <f>IF(BA69="","",ROUND(IF(BA$86&lt;ROUNDDOWN(税率・条件!$C$13/12,0),BA68+BA69,BA68*(((税率・条件!$C$13/12)-BA$85)/BA$84)+BA69),0))</f>
        <v/>
      </c>
      <c r="AB55" s="124" t="str">
        <f>IF(BB69="","",ROUND(IF(BB$86&lt;ROUNDDOWN(税率・条件!$C$13/12,0),BB68+BB69,BB68*(((税率・条件!$C$13/12)-BB$85)/BB$84)+BB69),0))</f>
        <v/>
      </c>
      <c r="AC55" s="124" t="str">
        <f>IF(BC69="","",ROUND(IF(BC$86&lt;ROUNDDOWN(税率・条件!$C$13/12,0),BC68+BC69,BC68*(((税率・条件!$C$13/12)-BC$85)/BC$84)+BC69),0))</f>
        <v/>
      </c>
      <c r="AD55" s="124" t="str">
        <f>IF(BD69="","",ROUND(IF(BD$86&lt;ROUNDDOWN(税率・条件!$C$13/12,0),BD68+BD69,BD68*(((税率・条件!$C$13/12)-BD$85)/BD$84)+BD69),0))</f>
        <v/>
      </c>
      <c r="AE55" s="124" t="str">
        <f>IF(BE69="","",ROUND(IF(BE$86&lt;ROUNDDOWN(税率・条件!$C$13/12,0),BE68+BE69,BE68*(((税率・条件!$C$13/12)-BE$85)/BE$84)+BE69),0))</f>
        <v/>
      </c>
      <c r="AF55" s="124" t="str">
        <f>IF(BF69="","",ROUND(IF(BF$86&lt;ROUNDDOWN(税率・条件!$C$13/12,0),BF68+BF69,BF68*(((税率・条件!$C$13/12)-BF$85)/BF$84)+BF69),0))</f>
        <v/>
      </c>
      <c r="AG55" s="124" t="str">
        <f>IF(BG69="","",ROUND(IF(BG$86&lt;ROUNDDOWN(税率・条件!$C$13/12,0),BG68+BG69,BG68*(((税率・条件!$C$13/12)-BG$85)/BG$84)+BG69),0))</f>
        <v/>
      </c>
      <c r="AH55" s="124" t="str">
        <f>IF(BH69="","",ROUND(IF(BH$86&lt;ROUNDDOWN(税率・条件!$C$13/12,0),BH68+BH69,BH68*(((税率・条件!$C$13/12)-BH$85)/BH$84)+BH69),0))</f>
        <v/>
      </c>
      <c r="AI55" s="417" t="str">
        <f>IF(BI69="","",ROUND(IF(BI$86&lt;ROUNDDOWN(税率・条件!$C$13/12,0),BI68+BI69,BI68*(((税率・条件!$C$13/12)-BI$85)/BI$84)+BI69),0))</f>
        <v/>
      </c>
      <c r="AJ55" s="418"/>
      <c r="AK55" s="418"/>
      <c r="AL55" s="417" t="str">
        <f>IF(BJ69="","",ROUND(IF(BJ$86&lt;ROUNDDOWN(税率・条件!$C$13/12,0),BJ68+BJ69,BJ68*(((税率・条件!$C$13/12)-BJ$85)/BJ$84)+BJ69),0))</f>
        <v/>
      </c>
      <c r="AM55" s="418"/>
      <c r="AN55" s="418"/>
      <c r="AO55" s="367" t="str">
        <f>IF(BK69="","",ROUND(IF(BK$86&lt;ROUNDDOWN(税率・条件!$C$13/12,0),BK68+BK69,BK68*(((税率・条件!$C$13/12)-BK$85)/BK$84)+BK69),0))</f>
        <v/>
      </c>
      <c r="AP55" s="368"/>
      <c r="AQ55" s="369"/>
      <c r="AR55" s="411" t="str">
        <f>IF(AC4="","",SUM(Z55:AQ55))</f>
        <v/>
      </c>
      <c r="AS55" s="412"/>
      <c r="AT55" s="413"/>
      <c r="AU55" s="156"/>
      <c r="AV55" s="154"/>
      <c r="AW55" s="129"/>
      <c r="AY55" s="150" t="s">
        <v>161</v>
      </c>
      <c r="AZ55" s="145" t="str">
        <f t="shared" ref="AZ55:BK55" si="80">IF(AJ14="","",ROUND((SUM($T14:$U15)/12),0))</f>
        <v/>
      </c>
      <c r="BA55" s="145" t="str">
        <f t="shared" si="80"/>
        <v/>
      </c>
      <c r="BB55" s="145" t="str">
        <f t="shared" si="80"/>
        <v/>
      </c>
      <c r="BC55" s="145" t="str">
        <f t="shared" si="80"/>
        <v/>
      </c>
      <c r="BD55" s="145" t="str">
        <f t="shared" si="80"/>
        <v/>
      </c>
      <c r="BE55" s="145" t="str">
        <f t="shared" si="80"/>
        <v/>
      </c>
      <c r="BF55" s="145" t="str">
        <f t="shared" si="80"/>
        <v/>
      </c>
      <c r="BG55" s="145" t="str">
        <f t="shared" si="80"/>
        <v/>
      </c>
      <c r="BH55" s="145" t="str">
        <f t="shared" si="80"/>
        <v/>
      </c>
      <c r="BI55" s="145" t="str">
        <f t="shared" si="80"/>
        <v/>
      </c>
      <c r="BJ55" s="145" t="str">
        <f t="shared" si="80"/>
        <v/>
      </c>
      <c r="BK55" s="145" t="str">
        <f t="shared" si="80"/>
        <v/>
      </c>
    </row>
    <row r="56" spans="2:63" ht="18.95" customHeight="1" x14ac:dyDescent="0.15">
      <c r="L56" s="363"/>
      <c r="M56" s="363"/>
      <c r="N56" s="363"/>
      <c r="O56" s="363"/>
      <c r="P56" s="363"/>
      <c r="Q56" s="363"/>
      <c r="R56" s="363"/>
      <c r="S56" s="363"/>
      <c r="T56" s="363"/>
      <c r="X56" s="34" t="str">
        <f t="shared" si="79"/>
        <v>２</v>
      </c>
      <c r="Y56" s="35" t="str">
        <f t="shared" si="79"/>
        <v/>
      </c>
      <c r="Z56" s="123" t="str">
        <f>IF(AZ71="","",ROUND(IF(AZ$86&lt;ROUNDDOWN(税率・条件!$C$13/12,0),AZ70+AZ71,AZ70*(((税率・条件!$C$13/12)-AZ$85)/AZ$84)+AZ71),0))</f>
        <v/>
      </c>
      <c r="AA56" s="172" t="str">
        <f>IF(BA71="","",ROUND(IF(BA$86&lt;ROUNDDOWN(税率・条件!$C$13/12,0),BA70+BA71,BA70*(((税率・条件!$C$13/12)-BA$85)/BA$84)+BA71),0))</f>
        <v/>
      </c>
      <c r="AB56" s="172" t="str">
        <f>IF(BB71="","",ROUND(IF(BB$86&lt;ROUNDDOWN(税率・条件!$C$13/12,0),BB70+BB71,BB70*(((税率・条件!$C$13/12)-BB$85)/BB$84)+BB71),0))</f>
        <v/>
      </c>
      <c r="AC56" s="172" t="str">
        <f>IF(BC71="","",ROUND(IF(BC$86&lt;ROUNDDOWN(税率・条件!$C$13/12,0),BC70+BC71,BC70*(((税率・条件!$C$13/12)-BC$85)/BC$84)+BC71),0))</f>
        <v/>
      </c>
      <c r="AD56" s="172" t="str">
        <f>IF(BD71="","",ROUND(IF(BD$86&lt;ROUNDDOWN(税率・条件!$C$13/12,0),BD70+BD71,BD70*(((税率・条件!$C$13/12)-BD$85)/BD$84)+BD71),0))</f>
        <v/>
      </c>
      <c r="AE56" s="172" t="str">
        <f>IF(BE71="","",ROUND(IF(BE$86&lt;ROUNDDOWN(税率・条件!$C$13/12,0),BE70+BE71,BE70*(((税率・条件!$C$13/12)-BE$85)/BE$84)+BE71),0))</f>
        <v/>
      </c>
      <c r="AF56" s="172" t="str">
        <f>IF(BF71="","",ROUND(IF(BF$86&lt;ROUNDDOWN(税率・条件!$C$13/12,0),BF70+BF71,BF70*(((税率・条件!$C$13/12)-BF$85)/BF$84)+BF71),0))</f>
        <v/>
      </c>
      <c r="AG56" s="172" t="str">
        <f>IF(BG71="","",ROUND(IF(BG$86&lt;ROUNDDOWN(税率・条件!$C$13/12,0),BG70+BG71,BG70*(((税率・条件!$C$13/12)-BG$85)/BG$84)+BG71),0))</f>
        <v/>
      </c>
      <c r="AH56" s="172" t="str">
        <f>IF(BH71="","",ROUND(IF(BH$86&lt;ROUNDDOWN(税率・条件!$C$13/12,0),BH70+BH71,BH70*(((税率・条件!$C$13/12)-BH$85)/BH$84)+BH71),0))</f>
        <v/>
      </c>
      <c r="AI56" s="417" t="str">
        <f>IF(BI71="","",ROUND(IF(BI$86&lt;ROUNDDOWN(税率・条件!$C$13/12,0),BI70+BI71,BI70*(((税率・条件!$C$13/12)-BI$85)/BI$84)+BI71),0))</f>
        <v/>
      </c>
      <c r="AJ56" s="418"/>
      <c r="AK56" s="418"/>
      <c r="AL56" s="417" t="str">
        <f>IF(BJ71="","",ROUND(IF(BJ$86&lt;ROUNDDOWN(税率・条件!$C$13/12,0),BJ70+BJ71,BJ70*(((税率・条件!$C$13/12)-BJ$85)/BJ$84)+BJ71),0))</f>
        <v/>
      </c>
      <c r="AM56" s="418"/>
      <c r="AN56" s="418"/>
      <c r="AO56" s="367" t="str">
        <f>IF(BK71="","",ROUND(IF(BK$86&lt;ROUNDDOWN(税率・条件!$C$13/12,0),BK70+BK71,BK70*(((税率・条件!$C$13/12)-BK$85)/BK$84)+BK71),0))</f>
        <v/>
      </c>
      <c r="AP56" s="368"/>
      <c r="AQ56" s="369"/>
      <c r="AR56" s="411" t="str">
        <f>IF(AC6="","",SUM(Z56:AQ56))</f>
        <v/>
      </c>
      <c r="AS56" s="412"/>
      <c r="AT56" s="413"/>
      <c r="AU56" s="156"/>
      <c r="AV56" s="154"/>
      <c r="AW56" s="129"/>
      <c r="AY56" s="151" t="s">
        <v>162</v>
      </c>
      <c r="AZ56" s="147" t="str">
        <f t="shared" ref="AZ56:BK56" si="81">IF(AJ14="","",ROUND(SUM($V14:$W15)/12,0))</f>
        <v/>
      </c>
      <c r="BA56" s="147" t="str">
        <f t="shared" si="81"/>
        <v/>
      </c>
      <c r="BB56" s="147" t="str">
        <f t="shared" si="81"/>
        <v/>
      </c>
      <c r="BC56" s="147" t="str">
        <f t="shared" si="81"/>
        <v/>
      </c>
      <c r="BD56" s="147" t="str">
        <f t="shared" si="81"/>
        <v/>
      </c>
      <c r="BE56" s="147" t="str">
        <f t="shared" si="81"/>
        <v/>
      </c>
      <c r="BF56" s="147" t="str">
        <f t="shared" si="81"/>
        <v/>
      </c>
      <c r="BG56" s="147" t="str">
        <f t="shared" si="81"/>
        <v/>
      </c>
      <c r="BH56" s="147" t="str">
        <f t="shared" si="81"/>
        <v/>
      </c>
      <c r="BI56" s="147" t="str">
        <f t="shared" si="81"/>
        <v/>
      </c>
      <c r="BJ56" s="147" t="str">
        <f t="shared" si="81"/>
        <v/>
      </c>
      <c r="BK56" s="147" t="str">
        <f t="shared" si="81"/>
        <v/>
      </c>
    </row>
    <row r="57" spans="2:63" ht="18.95" customHeight="1" x14ac:dyDescent="0.15">
      <c r="L57" s="363"/>
      <c r="M57" s="363"/>
      <c r="N57" s="363"/>
      <c r="O57" s="363"/>
      <c r="P57" s="363"/>
      <c r="Q57" s="363"/>
      <c r="R57" s="363"/>
      <c r="S57" s="363"/>
      <c r="T57" s="363"/>
      <c r="X57" s="34" t="str">
        <f t="shared" si="79"/>
        <v>３</v>
      </c>
      <c r="Y57" s="35" t="str">
        <f t="shared" si="79"/>
        <v/>
      </c>
      <c r="Z57" s="123" t="str">
        <f>IF(AZ73="","",ROUND(IF(AZ$86&lt;ROUNDDOWN(税率・条件!$C$13/12,0),AZ72+AZ73,AZ72*(((税率・条件!$C$13/12)-AZ$85)/AZ$84)+AZ73),0))</f>
        <v/>
      </c>
      <c r="AA57" s="172" t="str">
        <f>IF(BA73="","",ROUND(IF(BA$86&lt;ROUNDDOWN(税率・条件!$C$13/12,0),BA72+BA73,BA72*(((税率・条件!$C$13/12)-BA$85)/BA$84)+BA73),0))</f>
        <v/>
      </c>
      <c r="AB57" s="172" t="str">
        <f>IF(BB73="","",ROUND(IF(BB$86&lt;ROUNDDOWN(税率・条件!$C$13/12,0),BB72+BB73,BB72*(((税率・条件!$C$13/12)-BB$85)/BB$84)+BB73),0))</f>
        <v/>
      </c>
      <c r="AC57" s="172" t="str">
        <f>IF(BC73="","",ROUND(IF(BC$86&lt;ROUNDDOWN(税率・条件!$C$13/12,0),BC72+BC73,BC72*(((税率・条件!$C$13/12)-BC$85)/BC$84)+BC73),0))</f>
        <v/>
      </c>
      <c r="AD57" s="172" t="str">
        <f>IF(BD73="","",ROUND(IF(BD$86&lt;ROUNDDOWN(税率・条件!$C$13/12,0),BD72+BD73,BD72*(((税率・条件!$C$13/12)-BD$85)/BD$84)+BD73),0))</f>
        <v/>
      </c>
      <c r="AE57" s="172" t="str">
        <f>IF(BE73="","",ROUND(IF(BE$86&lt;ROUNDDOWN(税率・条件!$C$13/12,0),BE72+BE73,BE72*(((税率・条件!$C$13/12)-BE$85)/BE$84)+BE73),0))</f>
        <v/>
      </c>
      <c r="AF57" s="172" t="str">
        <f>IF(BF73="","",ROUND(IF(BF$86&lt;ROUNDDOWN(税率・条件!$C$13/12,0),BF72+BF73,BF72*(((税率・条件!$C$13/12)-BF$85)/BF$84)+BF73),0))</f>
        <v/>
      </c>
      <c r="AG57" s="172" t="str">
        <f>IF(BG73="","",ROUND(IF(BG$86&lt;ROUNDDOWN(税率・条件!$C$13/12,0),BG72+BG73,BG72*(((税率・条件!$C$13/12)-BG$85)/BG$84)+BG73),0))</f>
        <v/>
      </c>
      <c r="AH57" s="172" t="str">
        <f>IF(BH73="","",ROUND(IF(BH$86&lt;ROUNDDOWN(税率・条件!$C$13/12,0),BH72+BH73,BH72*(((税率・条件!$C$13/12)-BH$85)/BH$84)+BH73),0))</f>
        <v/>
      </c>
      <c r="AI57" s="417" t="str">
        <f>IF(BI73="","",ROUND(IF(BI$86&lt;ROUNDDOWN(税率・条件!$C$13/12,0),BI72+BI73,BI72*(((税率・条件!$C$13/12)-BI$85)/BI$84)+BI73),0))</f>
        <v/>
      </c>
      <c r="AJ57" s="418"/>
      <c r="AK57" s="418"/>
      <c r="AL57" s="417" t="str">
        <f>IF(BJ73="","",ROUND(IF(BJ$86&lt;ROUNDDOWN(税率・条件!$C$13/12,0),BJ72+BJ73,BJ72*(((税率・条件!$C$13/12)-BJ$85)/BJ$84)+BJ73),0))</f>
        <v/>
      </c>
      <c r="AM57" s="418"/>
      <c r="AN57" s="418"/>
      <c r="AO57" s="367" t="str">
        <f>IF(BK73="","",ROUND(IF(BK$86&lt;ROUNDDOWN(税率・条件!$C$13/12,0),BK72+BK73,BK72*(((税率・条件!$C$13/12)-BK$85)/BK$84)+BK73),0))</f>
        <v/>
      </c>
      <c r="AP57" s="368"/>
      <c r="AQ57" s="369"/>
      <c r="AR57" s="411" t="str">
        <f>IF(AC8="","",SUM(Z57:AQ57))</f>
        <v/>
      </c>
      <c r="AS57" s="412"/>
      <c r="AT57" s="413"/>
      <c r="AU57" s="156"/>
      <c r="AV57" s="154"/>
      <c r="AW57" s="129"/>
      <c r="AY57" s="150" t="s">
        <v>163</v>
      </c>
      <c r="AZ57" s="145" t="str">
        <f t="shared" ref="AZ57:BK57" si="82">IF(AJ16="","",ROUND((SUM($T16:$U17)/12),0))</f>
        <v/>
      </c>
      <c r="BA57" s="145" t="str">
        <f t="shared" si="82"/>
        <v/>
      </c>
      <c r="BB57" s="145" t="str">
        <f t="shared" si="82"/>
        <v/>
      </c>
      <c r="BC57" s="145" t="str">
        <f t="shared" si="82"/>
        <v/>
      </c>
      <c r="BD57" s="145" t="str">
        <f t="shared" si="82"/>
        <v/>
      </c>
      <c r="BE57" s="145" t="str">
        <f t="shared" si="82"/>
        <v/>
      </c>
      <c r="BF57" s="145" t="str">
        <f t="shared" si="82"/>
        <v/>
      </c>
      <c r="BG57" s="145" t="str">
        <f t="shared" si="82"/>
        <v/>
      </c>
      <c r="BH57" s="145" t="str">
        <f t="shared" si="82"/>
        <v/>
      </c>
      <c r="BI57" s="145" t="str">
        <f t="shared" si="82"/>
        <v/>
      </c>
      <c r="BJ57" s="145" t="str">
        <f t="shared" si="82"/>
        <v/>
      </c>
      <c r="BK57" s="145" t="str">
        <f t="shared" si="82"/>
        <v/>
      </c>
    </row>
    <row r="58" spans="2:63" ht="18.95" customHeight="1" x14ac:dyDescent="0.15">
      <c r="X58" s="34" t="str">
        <f t="shared" si="79"/>
        <v>４</v>
      </c>
      <c r="Y58" s="35" t="str">
        <f t="shared" si="79"/>
        <v/>
      </c>
      <c r="Z58" s="123" t="str">
        <f>IF(AZ75="","",ROUND(IF(AZ$86&lt;ROUNDDOWN(税率・条件!$C$13/12,0),AZ74+AZ75,AZ74*(((税率・条件!$C$13/12)-AZ$85)/AZ$84)+AZ75),0))</f>
        <v/>
      </c>
      <c r="AA58" s="172" t="str">
        <f>IF(BA75="","",ROUND(IF(BA$86&lt;ROUNDDOWN(税率・条件!$C$13/12,0),BA74+BA75,BA74*(((税率・条件!$C$13/12)-BA$85)/BA$84)+BA75),0))</f>
        <v/>
      </c>
      <c r="AB58" s="172" t="str">
        <f>IF(BB75="","",ROUND(IF(BB$86&lt;ROUNDDOWN(税率・条件!$C$13/12,0),BB74+BB75,BB74*(((税率・条件!$C$13/12)-BB$85)/BB$84)+BB75),0))</f>
        <v/>
      </c>
      <c r="AC58" s="172" t="str">
        <f>IF(BC75="","",ROUND(IF(BC$86&lt;ROUNDDOWN(税率・条件!$C$13/12,0),BC74+BC75,BC74*(((税率・条件!$C$13/12)-BC$85)/BC$84)+BC75),0))</f>
        <v/>
      </c>
      <c r="AD58" s="172" t="str">
        <f>IF(BD75="","",ROUND(IF(BD$86&lt;ROUNDDOWN(税率・条件!$C$13/12,0),BD74+BD75,BD74*(((税率・条件!$C$13/12)-BD$85)/BD$84)+BD75),0))</f>
        <v/>
      </c>
      <c r="AE58" s="172" t="str">
        <f>IF(BE75="","",ROUND(IF(BE$86&lt;ROUNDDOWN(税率・条件!$C$13/12,0),BE74+BE75,BE74*(((税率・条件!$C$13/12)-BE$85)/BE$84)+BE75),0))</f>
        <v/>
      </c>
      <c r="AF58" s="172" t="str">
        <f>IF(BF75="","",ROUND(IF(BF$86&lt;ROUNDDOWN(税率・条件!$C$13/12,0),BF74+BF75,BF74*(((税率・条件!$C$13/12)-BF$85)/BF$84)+BF75),0))</f>
        <v/>
      </c>
      <c r="AG58" s="172" t="str">
        <f>IF(BG75="","",ROUND(IF(BG$86&lt;ROUNDDOWN(税率・条件!$C$13/12,0),BG74+BG75,BG74*(((税率・条件!$C$13/12)-BG$85)/BG$84)+BG75),0))</f>
        <v/>
      </c>
      <c r="AH58" s="172" t="str">
        <f>IF(BH75="","",ROUND(IF(BH$86&lt;ROUNDDOWN(税率・条件!$C$13/12,0),BH74+BH75,BH74*(((税率・条件!$C$13/12)-BH$85)/BH$84)+BH75),0))</f>
        <v/>
      </c>
      <c r="AI58" s="417" t="str">
        <f>IF(BI75="","",ROUND(IF(BI$86&lt;ROUNDDOWN(税率・条件!$C$13/12,0),BI74+BI75,BI74*(((税率・条件!$C$13/12)-BI$85)/BI$84)+BI75),0))</f>
        <v/>
      </c>
      <c r="AJ58" s="418"/>
      <c r="AK58" s="418"/>
      <c r="AL58" s="417" t="str">
        <f>IF(BJ75="","",ROUND(IF(BJ$86&lt;ROUNDDOWN(税率・条件!$C$13/12,0),BJ74+BJ75,BJ74*(((税率・条件!$C$13/12)-BJ$85)/BJ$84)+BJ75),0))</f>
        <v/>
      </c>
      <c r="AM58" s="418"/>
      <c r="AN58" s="418"/>
      <c r="AO58" s="367" t="str">
        <f>IF(BK75="","",ROUND(IF(BK$86&lt;ROUNDDOWN(税率・条件!$C$13/12,0),BK74+BK75,BK74*(((税率・条件!$C$13/12)-BK$85)/BK$84)+BK75),0))</f>
        <v/>
      </c>
      <c r="AP58" s="368"/>
      <c r="AQ58" s="369"/>
      <c r="AR58" s="411" t="str">
        <f>IF(AC10="","",SUM(Z58:AQ58))</f>
        <v/>
      </c>
      <c r="AS58" s="412"/>
      <c r="AT58" s="413"/>
      <c r="AU58" s="156"/>
      <c r="AV58" s="154"/>
      <c r="AW58" s="129"/>
      <c r="AY58" s="151" t="s">
        <v>164</v>
      </c>
      <c r="AZ58" s="147" t="str">
        <f t="shared" ref="AZ58:BK58" si="83">IF(AJ16="","",ROUND(SUM($V16:$W17)/12,0))</f>
        <v/>
      </c>
      <c r="BA58" s="147" t="str">
        <f t="shared" si="83"/>
        <v/>
      </c>
      <c r="BB58" s="147" t="str">
        <f t="shared" si="83"/>
        <v/>
      </c>
      <c r="BC58" s="147" t="str">
        <f t="shared" si="83"/>
        <v/>
      </c>
      <c r="BD58" s="147" t="str">
        <f t="shared" si="83"/>
        <v/>
      </c>
      <c r="BE58" s="147" t="str">
        <f t="shared" si="83"/>
        <v/>
      </c>
      <c r="BF58" s="147" t="str">
        <f t="shared" si="83"/>
        <v/>
      </c>
      <c r="BG58" s="147" t="str">
        <f t="shared" si="83"/>
        <v/>
      </c>
      <c r="BH58" s="147" t="str">
        <f t="shared" si="83"/>
        <v/>
      </c>
      <c r="BI58" s="147" t="str">
        <f t="shared" si="83"/>
        <v/>
      </c>
      <c r="BJ58" s="147" t="str">
        <f t="shared" si="83"/>
        <v/>
      </c>
      <c r="BK58" s="147" t="str">
        <f t="shared" si="83"/>
        <v/>
      </c>
    </row>
    <row r="59" spans="2:63" ht="18.95" customHeight="1" x14ac:dyDescent="0.15">
      <c r="X59" s="34" t="str">
        <f t="shared" si="79"/>
        <v>５</v>
      </c>
      <c r="Y59" s="35" t="str">
        <f t="shared" si="79"/>
        <v/>
      </c>
      <c r="Z59" s="123" t="str">
        <f>IF(AZ77="","",ROUND(IF(AZ$86&lt;ROUNDDOWN(税率・条件!$C$13/12,0),AZ76+AZ77,AZ76*(((税率・条件!$C$13/12)-AZ$85)/AZ$84)+AZ77),0))</f>
        <v/>
      </c>
      <c r="AA59" s="172" t="str">
        <f>IF(BA77="","",ROUND(IF(BA$86&lt;ROUNDDOWN(税率・条件!$C$13/12,0),BA76+BA77,BA76*(((税率・条件!$C$13/12)-BA$85)/BA$84)+BA77),0))</f>
        <v/>
      </c>
      <c r="AB59" s="172" t="str">
        <f>IF(BB77="","",ROUND(IF(BB$86&lt;ROUNDDOWN(税率・条件!$C$13/12,0),BB76+BB77,BB76*(((税率・条件!$C$13/12)-BB$85)/BB$84)+BB77),0))</f>
        <v/>
      </c>
      <c r="AC59" s="172" t="str">
        <f>IF(BC77="","",ROUND(IF(BC$86&lt;ROUNDDOWN(税率・条件!$C$13/12,0),BC76+BC77,BC76*(((税率・条件!$C$13/12)-BC$85)/BC$84)+BC77),0))</f>
        <v/>
      </c>
      <c r="AD59" s="172" t="str">
        <f>IF(BD77="","",ROUND(IF(BD$86&lt;ROUNDDOWN(税率・条件!$C$13/12,0),BD76+BD77,BD76*(((税率・条件!$C$13/12)-BD$85)/BD$84)+BD77),0))</f>
        <v/>
      </c>
      <c r="AE59" s="172" t="str">
        <f>IF(BE77="","",ROUND(IF(BE$86&lt;ROUNDDOWN(税率・条件!$C$13/12,0),BE76+BE77,BE76*(((税率・条件!$C$13/12)-BE$85)/BE$84)+BE77),0))</f>
        <v/>
      </c>
      <c r="AF59" s="172" t="str">
        <f>IF(BF77="","",ROUND(IF(BF$86&lt;ROUNDDOWN(税率・条件!$C$13/12,0),BF76+BF77,BF76*(((税率・条件!$C$13/12)-BF$85)/BF$84)+BF77),0))</f>
        <v/>
      </c>
      <c r="AG59" s="172" t="str">
        <f>IF(BG77="","",ROUND(IF(BG$86&lt;ROUNDDOWN(税率・条件!$C$13/12,0),BG76+BG77,BG76*(((税率・条件!$C$13/12)-BG$85)/BG$84)+BG77),0))</f>
        <v/>
      </c>
      <c r="AH59" s="172" t="str">
        <f>IF(BH77="","",ROUND(IF(BH$86&lt;ROUNDDOWN(税率・条件!$C$13/12,0),BH76+BH77,BH76*(((税率・条件!$C$13/12)-BH$85)/BH$84)+BH77),0))</f>
        <v/>
      </c>
      <c r="AI59" s="417" t="str">
        <f>IF(BI77="","",ROUND(IF(BI$86&lt;ROUNDDOWN(税率・条件!$C$13/12,0),BI76+BI77,BI76*(((税率・条件!$C$13/12)-BI$85)/BI$84)+BI77),0))</f>
        <v/>
      </c>
      <c r="AJ59" s="418"/>
      <c r="AK59" s="418"/>
      <c r="AL59" s="417" t="str">
        <f>IF(BJ77="","",ROUND(IF(BJ$86&lt;ROUNDDOWN(税率・条件!$C$13/12,0),BJ76+BJ77,BJ76*(((税率・条件!$C$13/12)-BJ$85)/BJ$84)+BJ77),0))</f>
        <v/>
      </c>
      <c r="AM59" s="418"/>
      <c r="AN59" s="418"/>
      <c r="AO59" s="367" t="str">
        <f>IF(BK77="","",ROUND(IF(BK$86&lt;ROUNDDOWN(税率・条件!$C$13/12,0),BK76+BK77,BK76*(((税率・条件!$C$13/12)-BK$85)/BK$84)+BK77),0))</f>
        <v/>
      </c>
      <c r="AP59" s="368"/>
      <c r="AQ59" s="369"/>
      <c r="AR59" s="411" t="str">
        <f>IF(AC12="","",SUM(Z59:AQ59))</f>
        <v/>
      </c>
      <c r="AS59" s="412"/>
      <c r="AT59" s="413"/>
      <c r="AU59" s="156"/>
      <c r="AV59" s="154"/>
      <c r="AW59" s="129"/>
      <c r="AY59" s="150" t="s">
        <v>165</v>
      </c>
      <c r="AZ59" s="145" t="str">
        <f t="shared" ref="AZ59:BK59" si="84">IF(AJ18="","",ROUND((SUM($T18:$U19)/12),0))</f>
        <v/>
      </c>
      <c r="BA59" s="145" t="str">
        <f t="shared" si="84"/>
        <v/>
      </c>
      <c r="BB59" s="145" t="str">
        <f t="shared" si="84"/>
        <v/>
      </c>
      <c r="BC59" s="145" t="str">
        <f t="shared" si="84"/>
        <v/>
      </c>
      <c r="BD59" s="145" t="str">
        <f t="shared" si="84"/>
        <v/>
      </c>
      <c r="BE59" s="145" t="str">
        <f t="shared" si="84"/>
        <v/>
      </c>
      <c r="BF59" s="145" t="str">
        <f t="shared" si="84"/>
        <v/>
      </c>
      <c r="BG59" s="145" t="str">
        <f t="shared" si="84"/>
        <v/>
      </c>
      <c r="BH59" s="145" t="str">
        <f t="shared" si="84"/>
        <v/>
      </c>
      <c r="BI59" s="145" t="str">
        <f t="shared" si="84"/>
        <v/>
      </c>
      <c r="BJ59" s="145" t="str">
        <f t="shared" si="84"/>
        <v/>
      </c>
      <c r="BK59" s="145" t="str">
        <f t="shared" si="84"/>
        <v/>
      </c>
    </row>
    <row r="60" spans="2:63" ht="18.95" customHeight="1" x14ac:dyDescent="0.15">
      <c r="X60" s="34" t="str">
        <f t="shared" si="79"/>
        <v>６</v>
      </c>
      <c r="Y60" s="35" t="str">
        <f t="shared" si="79"/>
        <v/>
      </c>
      <c r="Z60" s="123" t="str">
        <f>IF(AZ79="","",ROUND(IF(AZ$86&lt;ROUNDDOWN(税率・条件!$C$13/12,0),AZ78+AZ79,AZ78*(((税率・条件!$C$13/12)-AZ$85)/AZ$84)+AZ79),0))</f>
        <v/>
      </c>
      <c r="AA60" s="172" t="str">
        <f>IF(BA79="","",ROUND(IF(BA$86&lt;ROUNDDOWN(税率・条件!$C$13/12,0),BA78+BA79,BA78*(((税率・条件!$C$13/12)-BA$85)/BA$84)+BA79),0))</f>
        <v/>
      </c>
      <c r="AB60" s="172" t="str">
        <f>IF(BB79="","",ROUND(IF(BB$86&lt;ROUNDDOWN(税率・条件!$C$13/12,0),BB78+BB79,BB78*(((税率・条件!$C$13/12)-BB$85)/BB$84)+BB79),0))</f>
        <v/>
      </c>
      <c r="AC60" s="172" t="str">
        <f>IF(BC79="","",ROUND(IF(BC$86&lt;ROUNDDOWN(税率・条件!$C$13/12,0),BC78+BC79,BC78*(((税率・条件!$C$13/12)-BC$85)/BC$84)+BC79),0))</f>
        <v/>
      </c>
      <c r="AD60" s="172" t="str">
        <f>IF(BD79="","",ROUND(IF(BD$86&lt;ROUNDDOWN(税率・条件!$C$13/12,0),BD78+BD79,BD78*(((税率・条件!$C$13/12)-BD$85)/BD$84)+BD79),0))</f>
        <v/>
      </c>
      <c r="AE60" s="172" t="str">
        <f>IF(BE79="","",ROUND(IF(BE$86&lt;ROUNDDOWN(税率・条件!$C$13/12,0),BE78+BE79,BE78*(((税率・条件!$C$13/12)-BE$85)/BE$84)+BE79),0))</f>
        <v/>
      </c>
      <c r="AF60" s="172" t="str">
        <f>IF(BF79="","",ROUND(IF(BF$86&lt;ROUNDDOWN(税率・条件!$C$13/12,0),BF78+BF79,BF78*(((税率・条件!$C$13/12)-BF$85)/BF$84)+BF79),0))</f>
        <v/>
      </c>
      <c r="AG60" s="172" t="str">
        <f>IF(BG79="","",ROUND(IF(BG$86&lt;ROUNDDOWN(税率・条件!$C$13/12,0),BG78+BG79,BG78*(((税率・条件!$C$13/12)-BG$85)/BG$84)+BG79),0))</f>
        <v/>
      </c>
      <c r="AH60" s="172" t="str">
        <f>IF(BH79="","",ROUND(IF(BH$86&lt;ROUNDDOWN(税率・条件!$C$13/12,0),BH78+BH79,BH78*(((税率・条件!$C$13/12)-BH$85)/BH$84)+BH79),0))</f>
        <v/>
      </c>
      <c r="AI60" s="417" t="str">
        <f>IF(BI79="","",ROUND(IF(BI$86&lt;ROUNDDOWN(税率・条件!$C$13/12,0),BI78+BI79,BI78*(((税率・条件!$C$13/12)-BI$85)/BI$84)+BI79),0))</f>
        <v/>
      </c>
      <c r="AJ60" s="418"/>
      <c r="AK60" s="418"/>
      <c r="AL60" s="417" t="str">
        <f>IF(BJ79="","",ROUND(IF(BJ$86&lt;ROUNDDOWN(税率・条件!$C$13/12,0),BJ78+BJ79,BJ78*(((税率・条件!$C$13/12)-BJ$85)/BJ$84)+BJ79),0))</f>
        <v/>
      </c>
      <c r="AM60" s="418"/>
      <c r="AN60" s="418"/>
      <c r="AO60" s="367" t="str">
        <f>IF(BK79="","",ROUND(IF(BK$86&lt;ROUNDDOWN(税率・条件!$C$13/12,0),BK78+BK79,BK78*(((税率・条件!$C$13/12)-BK$85)/BK$84)+BK79),0))</f>
        <v/>
      </c>
      <c r="AP60" s="368"/>
      <c r="AQ60" s="369"/>
      <c r="AR60" s="411" t="str">
        <f>IF(AC14="","",SUM(Z60:AQ60))</f>
        <v/>
      </c>
      <c r="AS60" s="412"/>
      <c r="AT60" s="413"/>
      <c r="AU60" s="156"/>
      <c r="AV60" s="154"/>
      <c r="AW60" s="129"/>
      <c r="AY60" s="151" t="s">
        <v>166</v>
      </c>
      <c r="AZ60" s="147" t="str">
        <f t="shared" ref="AZ60:BK60" si="85">IF(AJ18="","",ROUND(SUM($V18:$W19)/12,0))</f>
        <v/>
      </c>
      <c r="BA60" s="147" t="str">
        <f t="shared" si="85"/>
        <v/>
      </c>
      <c r="BB60" s="147" t="str">
        <f t="shared" si="85"/>
        <v/>
      </c>
      <c r="BC60" s="147" t="str">
        <f t="shared" si="85"/>
        <v/>
      </c>
      <c r="BD60" s="147" t="str">
        <f t="shared" si="85"/>
        <v/>
      </c>
      <c r="BE60" s="147" t="str">
        <f t="shared" si="85"/>
        <v/>
      </c>
      <c r="BF60" s="147" t="str">
        <f t="shared" si="85"/>
        <v/>
      </c>
      <c r="BG60" s="147" t="str">
        <f t="shared" si="85"/>
        <v/>
      </c>
      <c r="BH60" s="147" t="str">
        <f t="shared" si="85"/>
        <v/>
      </c>
      <c r="BI60" s="147" t="str">
        <f t="shared" si="85"/>
        <v/>
      </c>
      <c r="BJ60" s="147" t="str">
        <f t="shared" si="85"/>
        <v/>
      </c>
      <c r="BK60" s="147" t="str">
        <f t="shared" si="85"/>
        <v/>
      </c>
    </row>
    <row r="61" spans="2:63" ht="18.95" customHeight="1" x14ac:dyDescent="0.15">
      <c r="X61" s="34" t="str">
        <f t="shared" si="79"/>
        <v>７</v>
      </c>
      <c r="Y61" s="35" t="str">
        <f t="shared" si="79"/>
        <v/>
      </c>
      <c r="Z61" s="123" t="str">
        <f>IF(AZ81="","",ROUND(IF(AZ$86&lt;ROUNDDOWN(税率・条件!$C$13/12,0),AZ80+AZ81,AZ80*(((税率・条件!$C$13/12)-AZ$85)/AZ$84)+AZ81),0))</f>
        <v/>
      </c>
      <c r="AA61" s="172" t="str">
        <f>IF(BA81="","",ROUND(IF(BA$86&lt;ROUNDDOWN(税率・条件!$C$13/12,0),BA80+BA81,BA80*(((税率・条件!$C$13/12)-BA$85)/BA$84)+BA81),0))</f>
        <v/>
      </c>
      <c r="AB61" s="172" t="str">
        <f>IF(BB81="","",ROUND(IF(BB$86&lt;ROUNDDOWN(税率・条件!$C$13/12,0),BB80+BB81,BB80*(((税率・条件!$C$13/12)-BB$85)/BB$84)+BB81),0))</f>
        <v/>
      </c>
      <c r="AC61" s="172" t="str">
        <f>IF(BC81="","",ROUND(IF(BC$86&lt;ROUNDDOWN(税率・条件!$C$13/12,0),BC80+BC81,BC80*(((税率・条件!$C$13/12)-BC$85)/BC$84)+BC81),0))</f>
        <v/>
      </c>
      <c r="AD61" s="172" t="str">
        <f>IF(BD81="","",ROUND(IF(BD$86&lt;ROUNDDOWN(税率・条件!$C$13/12,0),BD80+BD81,BD80*(((税率・条件!$C$13/12)-BD$85)/BD$84)+BD81),0))</f>
        <v/>
      </c>
      <c r="AE61" s="172" t="str">
        <f>IF(BE81="","",ROUND(IF(BE$86&lt;ROUNDDOWN(税率・条件!$C$13/12,0),BE80+BE81,BE80*(((税率・条件!$C$13/12)-BE$85)/BE$84)+BE81),0))</f>
        <v/>
      </c>
      <c r="AF61" s="172" t="str">
        <f>IF(BF81="","",ROUND(IF(BF$86&lt;ROUNDDOWN(税率・条件!$C$13/12,0),BF80+BF81,BF80*(((税率・条件!$C$13/12)-BF$85)/BF$84)+BF81),0))</f>
        <v/>
      </c>
      <c r="AG61" s="172" t="str">
        <f>IF(BG81="","",ROUND(IF(BG$86&lt;ROUNDDOWN(税率・条件!$C$13/12,0),BG80+BG81,BG80*(((税率・条件!$C$13/12)-BG$85)/BG$84)+BG81),0))</f>
        <v/>
      </c>
      <c r="AH61" s="172" t="str">
        <f>IF(BH81="","",ROUND(IF(BH$86&lt;ROUNDDOWN(税率・条件!$C$13/12,0),BH80+BH81,BH80*(((税率・条件!$C$13/12)-BH$85)/BH$84)+BH81),0))</f>
        <v/>
      </c>
      <c r="AI61" s="417" t="str">
        <f>IF(BI81="","",ROUND(IF(BI$86&lt;ROUNDDOWN(税率・条件!$C$13/12,0),BI80+BI81,BI80*(((税率・条件!$C$13/12)-BI$85)/BI$84)+BI81),0))</f>
        <v/>
      </c>
      <c r="AJ61" s="418"/>
      <c r="AK61" s="418"/>
      <c r="AL61" s="417" t="str">
        <f>IF(BJ81="","",ROUND(IF(BJ$86&lt;ROUNDDOWN(税率・条件!$C$13/12,0),BJ80+BJ81,BJ80*(((税率・条件!$C$13/12)-BJ$85)/BJ$84)+BJ81),0))</f>
        <v/>
      </c>
      <c r="AM61" s="418"/>
      <c r="AN61" s="418"/>
      <c r="AO61" s="367" t="str">
        <f>IF(BK81="","",ROUND(IF(BK$86&lt;ROUNDDOWN(税率・条件!$C$13/12,0),BK80+BK81,BK80*(((税率・条件!$C$13/12)-BK$85)/BK$84)+BK81),0))</f>
        <v/>
      </c>
      <c r="AP61" s="368"/>
      <c r="AQ61" s="369"/>
      <c r="AR61" s="411" t="str">
        <f>IF(AC16="","",SUM(Z61:AQ61))</f>
        <v/>
      </c>
      <c r="AS61" s="412"/>
      <c r="AT61" s="413"/>
      <c r="AU61" s="156"/>
      <c r="AV61" s="154"/>
      <c r="AW61" s="129"/>
      <c r="AY61" s="152" t="s">
        <v>167</v>
      </c>
      <c r="AZ61" s="31">
        <f>SUM(AZ45,AZ47,AZ49,AZ51,AZ53,AZ55,AZ57,AZ59)</f>
        <v>0</v>
      </c>
      <c r="BA61" s="31">
        <f t="shared" ref="BA61:BK61" si="86">SUM(BA45,BA47,BA49,BA51,BA53,BA55,BA57,BA59)</f>
        <v>0</v>
      </c>
      <c r="BB61" s="31">
        <f t="shared" si="86"/>
        <v>0</v>
      </c>
      <c r="BC61" s="31">
        <f t="shared" si="86"/>
        <v>0</v>
      </c>
      <c r="BD61" s="31">
        <f t="shared" si="86"/>
        <v>0</v>
      </c>
      <c r="BE61" s="31">
        <f t="shared" si="86"/>
        <v>0</v>
      </c>
      <c r="BF61" s="31">
        <f t="shared" si="86"/>
        <v>0</v>
      </c>
      <c r="BG61" s="31">
        <f t="shared" si="86"/>
        <v>0</v>
      </c>
      <c r="BH61" s="31">
        <f t="shared" si="86"/>
        <v>0</v>
      </c>
      <c r="BI61" s="31">
        <f t="shared" si="86"/>
        <v>0</v>
      </c>
      <c r="BJ61" s="31">
        <f t="shared" si="86"/>
        <v>0</v>
      </c>
      <c r="BK61" s="31">
        <f t="shared" si="86"/>
        <v>0</v>
      </c>
    </row>
    <row r="62" spans="2:63" ht="18.95" customHeight="1" thickBot="1" x14ac:dyDescent="0.2">
      <c r="X62" s="127" t="str">
        <f t="shared" si="79"/>
        <v>８</v>
      </c>
      <c r="Y62" s="128" t="str">
        <f t="shared" si="79"/>
        <v/>
      </c>
      <c r="Z62" s="123" t="str">
        <f>IF(AZ83="","",ROUND(IF(AZ$86&lt;ROUNDDOWN(税率・条件!$C$13/12,0),AZ82+AZ83,AZ82*(((税率・条件!$C$13/12)-AZ$85)/AZ$84)+AZ83),0))</f>
        <v/>
      </c>
      <c r="AA62" s="172" t="str">
        <f>IF(BA83="","",ROUND(IF(BA$86&lt;ROUNDDOWN(税率・条件!$C$13/12,0),BA82+BA83,BA82*(((税率・条件!$C$13/12)-BA$85)/BA$84)+BA83),0))</f>
        <v/>
      </c>
      <c r="AB62" s="172" t="str">
        <f>IF(BB83="","",ROUND(IF(BB$86&lt;ROUNDDOWN(税率・条件!$C$13/12,0),BB82+BB83,BB82*(((税率・条件!$C$13/12)-BB$85)/BB$84)+BB83),0))</f>
        <v/>
      </c>
      <c r="AC62" s="172" t="str">
        <f>IF(BC83="","",ROUND(IF(BC$86&lt;ROUNDDOWN(税率・条件!$C$13/12,0),BC82+BC83,BC82*(((税率・条件!$C$13/12)-BC$85)/BC$84)+BC83),0))</f>
        <v/>
      </c>
      <c r="AD62" s="172" t="str">
        <f>IF(BD83="","",ROUND(IF(BD$86&lt;ROUNDDOWN(税率・条件!$C$13/12,0),BD82+BD83,BD82*(((税率・条件!$C$13/12)-BD$85)/BD$84)+BD83),0))</f>
        <v/>
      </c>
      <c r="AE62" s="172" t="str">
        <f>IF(BE83="","",ROUND(IF(BE$86&lt;ROUNDDOWN(税率・条件!$C$13/12,0),BE82+BE83,BE82*(((税率・条件!$C$13/12)-BE$85)/BE$84)+BE83),0))</f>
        <v/>
      </c>
      <c r="AF62" s="172" t="str">
        <f>IF(BF83="","",ROUND(IF(BF$86&lt;ROUNDDOWN(税率・条件!$C$13/12,0),BF82+BF83,BF82*(((税率・条件!$C$13/12)-BF$85)/BF$84)+BF83),0))</f>
        <v/>
      </c>
      <c r="AG62" s="172" t="str">
        <f>IF(BG83="","",ROUND(IF(BG$86&lt;ROUNDDOWN(税率・条件!$C$13/12,0),BG82+BG83,BG82*(((税率・条件!$C$13/12)-BG$85)/BG$84)+BG83),0))</f>
        <v/>
      </c>
      <c r="AH62" s="172" t="str">
        <f>IF(BH83="","",ROUND(IF(BH$86&lt;ROUNDDOWN(税率・条件!$C$13/12,0),BH82+BH83,BH82*(((税率・条件!$C$13/12)-BH$85)/BH$84)+BH83),0))</f>
        <v/>
      </c>
      <c r="AI62" s="417" t="str">
        <f>IF(BI83="","",ROUND(IF(BI$86&lt;ROUNDDOWN(税率・条件!$C$13/12,0),BI82+BI83,BI82*(((税率・条件!$C$13/12)-BI$85)/BI$84)+BI83),0))</f>
        <v/>
      </c>
      <c r="AJ62" s="418"/>
      <c r="AK62" s="418"/>
      <c r="AL62" s="417" t="str">
        <f>IF(BJ83="","",ROUND(IF(BJ$86&lt;ROUNDDOWN(税率・条件!$C$13/12,0),BJ82+BJ83,BJ82*(((税率・条件!$C$13/12)-BJ$85)/BJ$84)+BJ83),0))</f>
        <v/>
      </c>
      <c r="AM62" s="418"/>
      <c r="AN62" s="418"/>
      <c r="AO62" s="367" t="str">
        <f>IF(BK83="","",ROUND(IF(BK$86&lt;ROUNDDOWN(税率・条件!$C$13/12,0),BK82+BK83,BK82*(((税率・条件!$C$13/12)-BK$85)/BK$84)+BK83),0))</f>
        <v/>
      </c>
      <c r="AP62" s="368"/>
      <c r="AQ62" s="369"/>
      <c r="AR62" s="411" t="str">
        <f>IF(AC18="","",SUM(Z62:AQ62))</f>
        <v/>
      </c>
      <c r="AS62" s="412"/>
      <c r="AT62" s="413"/>
      <c r="AU62" s="156"/>
      <c r="AV62" s="154"/>
      <c r="AW62" s="129"/>
      <c r="AY62" s="152" t="s">
        <v>168</v>
      </c>
      <c r="AZ62" s="31">
        <f>SUM(AZ46,AZ48,AZ50,AZ52,AZ54,AZ56,AZ58,AZ60)</f>
        <v>0</v>
      </c>
      <c r="BA62" s="31">
        <f t="shared" ref="BA62:BK62" si="87">SUM(BA46,BA48,BA50,BA52,BA54,BA56,BA58,BA60)</f>
        <v>0</v>
      </c>
      <c r="BB62" s="31">
        <f t="shared" si="87"/>
        <v>0</v>
      </c>
      <c r="BC62" s="31">
        <f t="shared" si="87"/>
        <v>0</v>
      </c>
      <c r="BD62" s="31">
        <f t="shared" si="87"/>
        <v>0</v>
      </c>
      <c r="BE62" s="31">
        <f t="shared" si="87"/>
        <v>0</v>
      </c>
      <c r="BF62" s="31">
        <f t="shared" si="87"/>
        <v>0</v>
      </c>
      <c r="BG62" s="31">
        <f t="shared" si="87"/>
        <v>0</v>
      </c>
      <c r="BH62" s="31">
        <f t="shared" si="87"/>
        <v>0</v>
      </c>
      <c r="BI62" s="31">
        <f t="shared" si="87"/>
        <v>0</v>
      </c>
      <c r="BJ62" s="31">
        <f t="shared" si="87"/>
        <v>0</v>
      </c>
      <c r="BK62" s="31">
        <f t="shared" si="87"/>
        <v>0</v>
      </c>
    </row>
    <row r="63" spans="2:63" ht="18.95" customHeight="1" thickTop="1" thickBot="1" x14ac:dyDescent="0.2">
      <c r="X63" s="318" t="s">
        <v>136</v>
      </c>
      <c r="Y63" s="319"/>
      <c r="Z63" s="126">
        <f>SUM(Z55:Z62)</f>
        <v>0</v>
      </c>
      <c r="AA63" s="171">
        <f t="shared" ref="AA63:AH63" si="88">SUM(AA55:AA62)</f>
        <v>0</v>
      </c>
      <c r="AB63" s="171">
        <f t="shared" si="88"/>
        <v>0</v>
      </c>
      <c r="AC63" s="171">
        <f t="shared" si="88"/>
        <v>0</v>
      </c>
      <c r="AD63" s="171">
        <f t="shared" si="88"/>
        <v>0</v>
      </c>
      <c r="AE63" s="171">
        <f t="shared" si="88"/>
        <v>0</v>
      </c>
      <c r="AF63" s="171">
        <f t="shared" si="88"/>
        <v>0</v>
      </c>
      <c r="AG63" s="171">
        <f t="shared" si="88"/>
        <v>0</v>
      </c>
      <c r="AH63" s="171">
        <f t="shared" si="88"/>
        <v>0</v>
      </c>
      <c r="AI63" s="278">
        <f>SUM(AI55:AK62)</f>
        <v>0</v>
      </c>
      <c r="AJ63" s="278"/>
      <c r="AK63" s="278"/>
      <c r="AL63" s="278">
        <f t="shared" ref="AL63" si="89">SUM(AL55:AN62)</f>
        <v>0</v>
      </c>
      <c r="AM63" s="278"/>
      <c r="AN63" s="278"/>
      <c r="AO63" s="279">
        <f t="shared" ref="AO63" si="90">SUM(AO55:AQ62)</f>
        <v>0</v>
      </c>
      <c r="AP63" s="280"/>
      <c r="AQ63" s="281"/>
      <c r="AR63" s="279">
        <f t="shared" ref="AR63" si="91">SUM(AR55:AT62)</f>
        <v>0</v>
      </c>
      <c r="AS63" s="280"/>
      <c r="AT63" s="282"/>
      <c r="AU63" s="156"/>
      <c r="AV63" s="154"/>
      <c r="AW63" s="28"/>
      <c r="AY63" s="144" t="s">
        <v>150</v>
      </c>
      <c r="AZ63" s="31">
        <f>SUM(AZ61:AZ62)</f>
        <v>0</v>
      </c>
      <c r="BA63" s="31">
        <f t="shared" ref="BA63:BK63" si="92">SUM(BA61:BA62)</f>
        <v>0</v>
      </c>
      <c r="BB63" s="31">
        <f t="shared" si="92"/>
        <v>0</v>
      </c>
      <c r="BC63" s="31">
        <f t="shared" si="92"/>
        <v>0</v>
      </c>
      <c r="BD63" s="31">
        <f t="shared" si="92"/>
        <v>0</v>
      </c>
      <c r="BE63" s="31">
        <f t="shared" si="92"/>
        <v>0</v>
      </c>
      <c r="BF63" s="31">
        <f t="shared" si="92"/>
        <v>0</v>
      </c>
      <c r="BG63" s="31">
        <f t="shared" si="92"/>
        <v>0</v>
      </c>
      <c r="BH63" s="31">
        <f t="shared" si="92"/>
        <v>0</v>
      </c>
      <c r="BI63" s="31">
        <f t="shared" si="92"/>
        <v>0</v>
      </c>
      <c r="BJ63" s="31">
        <f t="shared" si="92"/>
        <v>0</v>
      </c>
      <c r="BK63" s="31">
        <f t="shared" si="92"/>
        <v>0</v>
      </c>
    </row>
    <row r="64" spans="2:63" ht="18.95" customHeight="1" thickTop="1" x14ac:dyDescent="0.15">
      <c r="Y64" s="157" t="s">
        <v>169</v>
      </c>
      <c r="Z64" s="158" t="str">
        <f>IF(AZ$86&lt;ROUNDDOWN(税率・条件!$C$13/12,0),"","該当")</f>
        <v/>
      </c>
      <c r="AA64" s="158" t="str">
        <f>IF(BA$86&lt;ROUNDDOWN(税率・条件!$C$13/12,0),"","該当")</f>
        <v/>
      </c>
      <c r="AB64" s="158" t="str">
        <f>IF(BB$86&lt;ROUNDDOWN(税率・条件!$C$13/12,0),"","該当")</f>
        <v/>
      </c>
      <c r="AC64" s="158" t="str">
        <f>IF(BC$86&lt;ROUNDDOWN(税率・条件!$C$13/12,0),"","該当")</f>
        <v/>
      </c>
      <c r="AD64" s="158" t="str">
        <f>IF(BD$86&lt;ROUNDDOWN(税率・条件!$C$13/12,0),"","該当")</f>
        <v/>
      </c>
      <c r="AE64" s="158" t="str">
        <f>IF(BE$86&lt;ROUNDDOWN(税率・条件!$C$13/12,0),"","該当")</f>
        <v/>
      </c>
      <c r="AF64" s="158" t="str">
        <f>IF(BF$86&lt;ROUNDDOWN(税率・条件!$C$13/12,0),"","該当")</f>
        <v/>
      </c>
      <c r="AG64" s="158" t="str">
        <f>IF(BG$86&lt;ROUNDDOWN(税率・条件!$C$13/12,0),"","該当")</f>
        <v/>
      </c>
      <c r="AH64" s="158" t="str">
        <f>IF(BH$86&lt;ROUNDDOWN(税率・条件!$C$13/12,0),"","該当")</f>
        <v/>
      </c>
      <c r="AI64" s="283" t="str">
        <f>IF(BI$86&lt;ROUNDDOWN(税率・条件!$C$13/12,0),"","該当")</f>
        <v/>
      </c>
      <c r="AJ64" s="284"/>
      <c r="AK64" s="284"/>
      <c r="AL64" s="283" t="str">
        <f>IF(BJ$86&lt;ROUNDDOWN(税率・条件!$C$13/12,0),"","該当")</f>
        <v/>
      </c>
      <c r="AM64" s="284"/>
      <c r="AN64" s="284"/>
      <c r="AO64" s="283" t="str">
        <f>IF(BK$86&lt;ROUNDDOWN(税率・条件!$C$13/12,0),"","該当")</f>
        <v/>
      </c>
      <c r="AP64" s="284"/>
      <c r="AQ64" s="284"/>
      <c r="AU64" s="28"/>
      <c r="AV64" s="28"/>
      <c r="AW64" s="28"/>
    </row>
    <row r="65" spans="24:63" ht="18.95" customHeight="1" x14ac:dyDescent="0.15">
      <c r="AU65" s="28"/>
      <c r="AV65" s="28"/>
      <c r="AW65" s="28"/>
    </row>
    <row r="66" spans="24:63" ht="18.95" customHeight="1" thickBot="1" x14ac:dyDescent="0.2">
      <c r="X66" s="1" t="str">
        <f>"介護分各個人月別計（令和"&amp;DBCS(税率・条件!C1)&amp;"年度税率）"</f>
        <v>介護分各個人月別計（令和６年度税率）</v>
      </c>
      <c r="AD66" s="1" t="s">
        <v>197</v>
      </c>
      <c r="AU66" s="28"/>
      <c r="AV66" s="28"/>
      <c r="AW66" s="125"/>
      <c r="AZ66" s="1" t="s">
        <v>148</v>
      </c>
    </row>
    <row r="67" spans="24:63" ht="18.95" customHeight="1" thickTop="1" x14ac:dyDescent="0.15">
      <c r="X67" s="380"/>
      <c r="Y67" s="382" t="s">
        <v>56</v>
      </c>
      <c r="Z67" s="300" t="s">
        <v>55</v>
      </c>
      <c r="AA67" s="301"/>
      <c r="AB67" s="301"/>
      <c r="AC67" s="301"/>
      <c r="AD67" s="301"/>
      <c r="AE67" s="330"/>
      <c r="AF67" s="330"/>
      <c r="AG67" s="330"/>
      <c r="AH67" s="330"/>
      <c r="AI67" s="330"/>
      <c r="AJ67" s="330"/>
      <c r="AK67" s="330"/>
      <c r="AL67" s="330"/>
      <c r="AM67" s="330"/>
      <c r="AN67" s="330"/>
      <c r="AO67" s="330"/>
      <c r="AP67" s="330"/>
      <c r="AQ67" s="330"/>
      <c r="AR67" s="330"/>
      <c r="AS67" s="330"/>
      <c r="AT67" s="331"/>
      <c r="AU67" s="28"/>
      <c r="AV67" s="28"/>
      <c r="AW67" s="129"/>
      <c r="AY67" s="3"/>
      <c r="AZ67" s="88">
        <v>4</v>
      </c>
      <c r="BA67" s="88">
        <v>5</v>
      </c>
      <c r="BB67" s="88">
        <v>6</v>
      </c>
      <c r="BC67" s="88">
        <v>7</v>
      </c>
      <c r="BD67" s="88">
        <v>8</v>
      </c>
      <c r="BE67" s="88">
        <v>9</v>
      </c>
      <c r="BF67" s="88">
        <v>10</v>
      </c>
      <c r="BG67" s="88">
        <v>11</v>
      </c>
      <c r="BH67" s="88">
        <v>12</v>
      </c>
      <c r="BI67" s="88">
        <v>1</v>
      </c>
      <c r="BJ67" s="88">
        <v>2</v>
      </c>
      <c r="BK67" s="88">
        <v>3</v>
      </c>
    </row>
    <row r="68" spans="24:63" ht="18.95" customHeight="1" x14ac:dyDescent="0.15">
      <c r="X68" s="381"/>
      <c r="Y68" s="383"/>
      <c r="Z68" s="121" t="s">
        <v>123</v>
      </c>
      <c r="AA68" s="122" t="s">
        <v>124</v>
      </c>
      <c r="AB68" s="122" t="s">
        <v>125</v>
      </c>
      <c r="AC68" s="122" t="s">
        <v>126</v>
      </c>
      <c r="AD68" s="122" t="s">
        <v>127</v>
      </c>
      <c r="AE68" s="122" t="s">
        <v>128</v>
      </c>
      <c r="AF68" s="122" t="s">
        <v>129</v>
      </c>
      <c r="AG68" s="122" t="s">
        <v>130</v>
      </c>
      <c r="AH68" s="122" t="s">
        <v>131</v>
      </c>
      <c r="AI68" s="365" t="s">
        <v>132</v>
      </c>
      <c r="AJ68" s="366"/>
      <c r="AK68" s="366"/>
      <c r="AL68" s="365" t="s">
        <v>134</v>
      </c>
      <c r="AM68" s="366"/>
      <c r="AN68" s="366"/>
      <c r="AO68" s="365" t="s">
        <v>135</v>
      </c>
      <c r="AP68" s="366"/>
      <c r="AQ68" s="366"/>
      <c r="AR68" s="365" t="s">
        <v>133</v>
      </c>
      <c r="AS68" s="366"/>
      <c r="AT68" s="384"/>
      <c r="AU68" s="155"/>
      <c r="AV68" s="154"/>
      <c r="AW68" s="129"/>
      <c r="AY68" s="150" t="s">
        <v>151</v>
      </c>
      <c r="AZ68" s="146" t="str">
        <f t="shared" ref="AZ68:BK68" si="93">IF(AND(AJ4="",AJ20=1),0,IF(AJ4="","",ROUND((SUM($Y4:$Z5)/12),0)))</f>
        <v/>
      </c>
      <c r="BA68" s="146" t="str">
        <f t="shared" si="93"/>
        <v/>
      </c>
      <c r="BB68" s="146" t="str">
        <f t="shared" si="93"/>
        <v/>
      </c>
      <c r="BC68" s="146" t="str">
        <f t="shared" si="93"/>
        <v/>
      </c>
      <c r="BD68" s="146" t="str">
        <f t="shared" si="93"/>
        <v/>
      </c>
      <c r="BE68" s="146" t="str">
        <f t="shared" si="93"/>
        <v/>
      </c>
      <c r="BF68" s="146" t="str">
        <f t="shared" si="93"/>
        <v/>
      </c>
      <c r="BG68" s="146" t="str">
        <f t="shared" si="93"/>
        <v/>
      </c>
      <c r="BH68" s="146" t="str">
        <f t="shared" si="93"/>
        <v/>
      </c>
      <c r="BI68" s="146" t="str">
        <f t="shared" si="93"/>
        <v/>
      </c>
      <c r="BJ68" s="146" t="str">
        <f t="shared" si="93"/>
        <v/>
      </c>
      <c r="BK68" s="146" t="str">
        <f t="shared" si="93"/>
        <v/>
      </c>
    </row>
    <row r="69" spans="24:63" ht="18.95" customHeight="1" x14ac:dyDescent="0.15">
      <c r="X69" s="34">
        <f t="shared" ref="X69:Y76" si="94">X55</f>
        <v>1</v>
      </c>
      <c r="Y69" s="35" t="str">
        <f t="shared" si="94"/>
        <v/>
      </c>
      <c r="Z69" s="123" t="str">
        <f>IF(AZ92="","",ROUND(IF(AZ$109&lt;ROUNDDOWN(税率・条件!$C$18/12,0),AZ91+AZ92,AZ91*(((税率・条件!$C$18/12)-AZ$108)/AZ$107)+AZ92),0))</f>
        <v/>
      </c>
      <c r="AA69" s="124" t="str">
        <f>IF(BA92="","",ROUND(IF(BA$109&lt;ROUNDDOWN(税率・条件!$C$18/12,0),BA91+BA92,BA91*(((税率・条件!$C$18/12)-BA$108)/BA$107)+BA92),0))</f>
        <v/>
      </c>
      <c r="AB69" s="124" t="str">
        <f>IF(BB92="","",ROUND(IF(BB$109&lt;ROUNDDOWN(税率・条件!$C$18/12,0),BB91+BB92,BB91*(((税率・条件!$C$18/12)-BB$108)/BB$107)+BB92),0))</f>
        <v/>
      </c>
      <c r="AC69" s="124" t="str">
        <f>IF(BC92="","",ROUND(IF(BC$109&lt;ROUNDDOWN(税率・条件!$C$18/12,0),BC91+BC92,BC91*(((税率・条件!$C$18/12)-BC$108)/BC$107)+BC92),0))</f>
        <v/>
      </c>
      <c r="AD69" s="124" t="str">
        <f>IF(BD92="","",ROUND(IF(BD$109&lt;ROUNDDOWN(税率・条件!$C$18/12,0),BD91+BD92,BD91*(((税率・条件!$C$18/12)-BD$108)/BD$107)+BD92),0))</f>
        <v/>
      </c>
      <c r="AE69" s="124" t="str">
        <f>IF(BE92="","",ROUND(IF(BE$109&lt;ROUNDDOWN(税率・条件!$C$18/12,0),BE91+BE92,BE91*(((税率・条件!$C$18/12)-BE$108)/BE$107)+BE92),0))</f>
        <v/>
      </c>
      <c r="AF69" s="124" t="str">
        <f>IF(BF92="","",ROUND(IF(BF$109&lt;ROUNDDOWN(税率・条件!$C$18/12,0),BF91+BF92,BF91*(((税率・条件!$C$18/12)-BF$108)/BF$107)+BF92),0))</f>
        <v/>
      </c>
      <c r="AG69" s="124" t="str">
        <f>IF(BG92="","",ROUND(IF(BG$109&lt;ROUNDDOWN(税率・条件!$C$18/12,0),BG91+BG92,BG91*(((税率・条件!$C$18/12)-BG$108)/BG$107)+BG92),0))</f>
        <v/>
      </c>
      <c r="AH69" s="124" t="str">
        <f>IF(BH92="","",ROUND(IF(BH$109&lt;ROUNDDOWN(税率・条件!$C$18/12,0),BH91+BH92,BH91*(((税率・条件!$C$18/12)-BH$108)/BH$107)+BH92),0))</f>
        <v/>
      </c>
      <c r="AI69" s="367" t="str">
        <f>IF(BI92="","",ROUND(IF(BI$109&lt;ROUNDDOWN(税率・条件!$C$18/12,0),BI91+BI92,BI91*(((税率・条件!$C$18/12)-BI$108)/BI$107)+BI92),0))</f>
        <v/>
      </c>
      <c r="AJ69" s="368"/>
      <c r="AK69" s="369"/>
      <c r="AL69" s="419" t="str">
        <f>IF(BJ92="","",ROUND(IF(BJ$109&lt;ROUNDDOWN(税率・条件!$C$18/12,0),BJ91+BJ92,BJ91*(((税率・条件!$C$18/12)-BJ$108)/BJ$107)+BJ92),0))</f>
        <v/>
      </c>
      <c r="AM69" s="368"/>
      <c r="AN69" s="369"/>
      <c r="AO69" s="367" t="str">
        <f>IF(BK92="","",ROUND(IF(BK$109&lt;ROUNDDOWN(税率・条件!$C$18/12,0),BK91+BK92,BK91*(((税率・条件!$C$18/12)-BK$108)/BK$107)+BK92),0))</f>
        <v/>
      </c>
      <c r="AP69" s="368"/>
      <c r="AQ69" s="369"/>
      <c r="AR69" s="411" t="str">
        <f>IF(AH4="","",SUM(Z69:AQ69))</f>
        <v/>
      </c>
      <c r="AS69" s="412"/>
      <c r="AT69" s="413"/>
      <c r="AU69" s="156"/>
      <c r="AV69" s="154"/>
      <c r="AW69" s="129"/>
      <c r="AY69" s="151" t="s">
        <v>152</v>
      </c>
      <c r="AZ69" s="148" t="str">
        <f t="shared" ref="AZ69:BK69" si="95">IF(AJ4="",IF(AJ20="","",ROUND(SUM($AB4:$AB5)/12,0)),ROUND(SUM($AA4:$AB5)/12,0))</f>
        <v/>
      </c>
      <c r="BA69" s="148" t="str">
        <f t="shared" si="95"/>
        <v/>
      </c>
      <c r="BB69" s="148" t="str">
        <f t="shared" si="95"/>
        <v/>
      </c>
      <c r="BC69" s="148" t="str">
        <f t="shared" si="95"/>
        <v/>
      </c>
      <c r="BD69" s="148" t="str">
        <f t="shared" si="95"/>
        <v/>
      </c>
      <c r="BE69" s="148" t="str">
        <f t="shared" si="95"/>
        <v/>
      </c>
      <c r="BF69" s="148" t="str">
        <f t="shared" si="95"/>
        <v/>
      </c>
      <c r="BG69" s="148" t="str">
        <f t="shared" si="95"/>
        <v/>
      </c>
      <c r="BH69" s="148" t="str">
        <f t="shared" si="95"/>
        <v/>
      </c>
      <c r="BI69" s="148" t="str">
        <f t="shared" si="95"/>
        <v/>
      </c>
      <c r="BJ69" s="148" t="str">
        <f t="shared" si="95"/>
        <v/>
      </c>
      <c r="BK69" s="148" t="str">
        <f t="shared" si="95"/>
        <v/>
      </c>
    </row>
    <row r="70" spans="24:63" ht="18.95" customHeight="1" x14ac:dyDescent="0.15">
      <c r="X70" s="34" t="str">
        <f t="shared" si="94"/>
        <v>２</v>
      </c>
      <c r="Y70" s="35" t="str">
        <f t="shared" si="94"/>
        <v/>
      </c>
      <c r="Z70" s="123" t="str">
        <f>IF(AZ94="","",ROUND(IF(AZ$109&lt;ROUNDDOWN(税率・条件!$C$18/12,0),AZ93+AZ94,AZ93*(((税率・条件!$C$18/12)-AZ$108)/AZ$107)+AZ94),0))</f>
        <v/>
      </c>
      <c r="AA70" s="172" t="str">
        <f>IF(BA94="","",ROUND(IF(BA$109&lt;ROUNDDOWN(税率・条件!$C$18/12,0),BA93+BA94,BA93*(((税率・条件!$C$18/12)-BA$108)/BA$107)+BA94),0))</f>
        <v/>
      </c>
      <c r="AB70" s="172" t="str">
        <f>IF(BB94="","",ROUND(IF(BB$109&lt;ROUNDDOWN(税率・条件!$C$18/12,0),BB93+BB94,BB93*(((税率・条件!$C$18/12)-BB$108)/BB$107)+BB94),0))</f>
        <v/>
      </c>
      <c r="AC70" s="172" t="str">
        <f>IF(BC94="","",ROUND(IF(BC$109&lt;ROUNDDOWN(税率・条件!$C$18/12,0),BC93+BC94,BC93*(((税率・条件!$C$18/12)-BC$108)/BC$107)+BC94),0))</f>
        <v/>
      </c>
      <c r="AD70" s="172" t="str">
        <f>IF(BD94="","",ROUND(IF(BD$109&lt;ROUNDDOWN(税率・条件!$C$18/12,0),BD93+BD94,BD93*(((税率・条件!$C$18/12)-BD$108)/BD$107)+BD94),0))</f>
        <v/>
      </c>
      <c r="AE70" s="172" t="str">
        <f>IF(BE94="","",ROUND(IF(BE$109&lt;ROUNDDOWN(税率・条件!$C$18/12,0),BE93+BE94,BE93*(((税率・条件!$C$18/12)-BE$108)/BE$107)+BE94),0))</f>
        <v/>
      </c>
      <c r="AF70" s="172" t="str">
        <f>IF(BF94="","",ROUND(IF(BF$109&lt;ROUNDDOWN(税率・条件!$C$18/12,0),BF93+BF94,BF93*(((税率・条件!$C$18/12)-BF$108)/BF$107)+BF94),0))</f>
        <v/>
      </c>
      <c r="AG70" s="172" t="str">
        <f>IF(BG94="","",ROUND(IF(BG$109&lt;ROUNDDOWN(税率・条件!$C$18/12,0),BG93+BG94,BG93*(((税率・条件!$C$18/12)-BG$108)/BG$107)+BG94),0))</f>
        <v/>
      </c>
      <c r="AH70" s="172" t="str">
        <f>IF(BH94="","",ROUND(IF(BH$109&lt;ROUNDDOWN(税率・条件!$C$18/12,0),BH93+BH94,BH93*(((税率・条件!$C$18/12)-BH$108)/BH$107)+BH94),0))</f>
        <v/>
      </c>
      <c r="AI70" s="367" t="str">
        <f>IF(BI94="","",ROUND(IF(BI$109&lt;ROUNDDOWN(税率・条件!$C$18/12,0),BI93+BI94,BI93*(((税率・条件!$C$18/12)-BI$108)/BI$107)+BI94),0))</f>
        <v/>
      </c>
      <c r="AJ70" s="368"/>
      <c r="AK70" s="369"/>
      <c r="AL70" s="419" t="str">
        <f>IF(BJ94="","",ROUND(IF(BJ$109&lt;ROUNDDOWN(税率・条件!$C$18/12,0),BJ93+BJ94,BJ93*(((税率・条件!$C$18/12)-BJ$108)/BJ$107)+BJ94),0))</f>
        <v/>
      </c>
      <c r="AM70" s="368"/>
      <c r="AN70" s="369"/>
      <c r="AO70" s="367" t="str">
        <f>IF(BK94="","",ROUND(IF(BK$109&lt;ROUNDDOWN(税率・条件!$C$18/12,0),BK93+BK94,BK93*(((税率・条件!$C$18/12)-BK$108)/BK$107)+BK94),0))</f>
        <v/>
      </c>
      <c r="AP70" s="368"/>
      <c r="AQ70" s="369"/>
      <c r="AR70" s="411" t="str">
        <f>IF(AH6="","",SUM(Z70:AQ70))</f>
        <v/>
      </c>
      <c r="AS70" s="412"/>
      <c r="AT70" s="413"/>
      <c r="AU70" s="156"/>
      <c r="AV70" s="154"/>
      <c r="AW70" s="129"/>
      <c r="AY70" s="150" t="s">
        <v>153</v>
      </c>
      <c r="AZ70" s="146" t="str">
        <f t="shared" ref="AZ70:BK70" si="96">IF(AJ6="","",ROUND((SUM($Y6:$Z7)/12),0))</f>
        <v/>
      </c>
      <c r="BA70" s="146" t="str">
        <f t="shared" si="96"/>
        <v/>
      </c>
      <c r="BB70" s="146" t="str">
        <f t="shared" si="96"/>
        <v/>
      </c>
      <c r="BC70" s="146" t="str">
        <f t="shared" si="96"/>
        <v/>
      </c>
      <c r="BD70" s="146" t="str">
        <f t="shared" si="96"/>
        <v/>
      </c>
      <c r="BE70" s="146" t="str">
        <f t="shared" si="96"/>
        <v/>
      </c>
      <c r="BF70" s="146" t="str">
        <f t="shared" si="96"/>
        <v/>
      </c>
      <c r="BG70" s="146" t="str">
        <f t="shared" si="96"/>
        <v/>
      </c>
      <c r="BH70" s="146" t="str">
        <f t="shared" si="96"/>
        <v/>
      </c>
      <c r="BI70" s="146" t="str">
        <f t="shared" si="96"/>
        <v/>
      </c>
      <c r="BJ70" s="146" t="str">
        <f t="shared" si="96"/>
        <v/>
      </c>
      <c r="BK70" s="146" t="str">
        <f t="shared" si="96"/>
        <v/>
      </c>
    </row>
    <row r="71" spans="24:63" ht="18.95" customHeight="1" x14ac:dyDescent="0.15">
      <c r="X71" s="34" t="str">
        <f t="shared" si="94"/>
        <v>３</v>
      </c>
      <c r="Y71" s="35" t="str">
        <f t="shared" si="94"/>
        <v/>
      </c>
      <c r="Z71" s="123" t="str">
        <f>IF(AZ96="","",ROUND(IF(AZ$109&lt;ROUNDDOWN(税率・条件!$C$18/12,0),AZ95+AZ96,AZ95*(((税率・条件!$C$18/12)-AZ$108)/AZ$107)+AZ96),0))</f>
        <v/>
      </c>
      <c r="AA71" s="172" t="str">
        <f>IF(BA96="","",ROUND(IF(BA$109&lt;ROUNDDOWN(税率・条件!$C$18/12,0),BA95+BA96,BA95*(((税率・条件!$C$18/12)-BA$108)/BA$107)+BA96),0))</f>
        <v/>
      </c>
      <c r="AB71" s="172" t="str">
        <f>IF(BB96="","",ROUND(IF(BB$109&lt;ROUNDDOWN(税率・条件!$C$18/12,0),BB95+BB96,BB95*(((税率・条件!$C$18/12)-BB$108)/BB$107)+BB96),0))</f>
        <v/>
      </c>
      <c r="AC71" s="172" t="str">
        <f>IF(BC96="","",ROUND(IF(BC$109&lt;ROUNDDOWN(税率・条件!$C$18/12,0),BC95+BC96,BC95*(((税率・条件!$C$18/12)-BC$108)/BC$107)+BC96),0))</f>
        <v/>
      </c>
      <c r="AD71" s="172" t="str">
        <f>IF(BD96="","",ROUND(IF(BD$109&lt;ROUNDDOWN(税率・条件!$C$18/12,0),BD95+BD96,BD95*(((税率・条件!$C$18/12)-BD$108)/BD$107)+BD96),0))</f>
        <v/>
      </c>
      <c r="AE71" s="172" t="str">
        <f>IF(BE96="","",ROUND(IF(BE$109&lt;ROUNDDOWN(税率・条件!$C$18/12,0),BE95+BE96,BE95*(((税率・条件!$C$18/12)-BE$108)/BE$107)+BE96),0))</f>
        <v/>
      </c>
      <c r="AF71" s="172" t="str">
        <f>IF(BF96="","",ROUND(IF(BF$109&lt;ROUNDDOWN(税率・条件!$C$18/12,0),BF95+BF96,BF95*(((税率・条件!$C$18/12)-BF$108)/BF$107)+BF96),0))</f>
        <v/>
      </c>
      <c r="AG71" s="172" t="str">
        <f>IF(BG96="","",ROUND(IF(BG$109&lt;ROUNDDOWN(税率・条件!$C$18/12,0),BG95+BG96,BG95*(((税率・条件!$C$18/12)-BG$108)/BG$107)+BG96),0))</f>
        <v/>
      </c>
      <c r="AH71" s="172" t="str">
        <f>IF(BH96="","",ROUND(IF(BH$109&lt;ROUNDDOWN(税率・条件!$C$18/12,0),BH95+BH96,BH95*(((税率・条件!$C$18/12)-BH$108)/BH$107)+BH96),0))</f>
        <v/>
      </c>
      <c r="AI71" s="367" t="str">
        <f>IF(BI96="","",ROUND(IF(BI$109&lt;ROUNDDOWN(税率・条件!$C$18/12,0),BI95+BI96,BI95*(((税率・条件!$C$18/12)-BI$108)/BI$107)+BI96),0))</f>
        <v/>
      </c>
      <c r="AJ71" s="368"/>
      <c r="AK71" s="369"/>
      <c r="AL71" s="419" t="str">
        <f>IF(BJ96="","",ROUND(IF(BJ$109&lt;ROUNDDOWN(税率・条件!$C$18/12,0),BJ95+BJ96,BJ95*(((税率・条件!$C$18/12)-BJ$108)/BJ$107)+BJ96),0))</f>
        <v/>
      </c>
      <c r="AM71" s="368"/>
      <c r="AN71" s="369"/>
      <c r="AO71" s="367" t="str">
        <f>IF(BK96="","",ROUND(IF(BK$109&lt;ROUNDDOWN(税率・条件!$C$18/12,0),BK95+BK96,BK95*(((税率・条件!$C$18/12)-BK$108)/BK$107)+BK96),0))</f>
        <v/>
      </c>
      <c r="AP71" s="368"/>
      <c r="AQ71" s="369"/>
      <c r="AR71" s="411" t="str">
        <f>IF(AH8="","",SUM(Z71:AQ71))</f>
        <v/>
      </c>
      <c r="AS71" s="412"/>
      <c r="AT71" s="413"/>
      <c r="AU71" s="156"/>
      <c r="AV71" s="154"/>
      <c r="AW71" s="129"/>
      <c r="AY71" s="151" t="s">
        <v>154</v>
      </c>
      <c r="AZ71" s="149" t="str">
        <f t="shared" ref="AZ71:BK71" si="97">IF(AJ6="","",ROUND(SUM($AA6:$AB7)/12,0))</f>
        <v/>
      </c>
      <c r="BA71" s="149" t="str">
        <f t="shared" si="97"/>
        <v/>
      </c>
      <c r="BB71" s="149" t="str">
        <f t="shared" si="97"/>
        <v/>
      </c>
      <c r="BC71" s="149" t="str">
        <f t="shared" si="97"/>
        <v/>
      </c>
      <c r="BD71" s="149" t="str">
        <f t="shared" si="97"/>
        <v/>
      </c>
      <c r="BE71" s="149" t="str">
        <f t="shared" si="97"/>
        <v/>
      </c>
      <c r="BF71" s="149" t="str">
        <f t="shared" si="97"/>
        <v/>
      </c>
      <c r="BG71" s="149" t="str">
        <f t="shared" si="97"/>
        <v/>
      </c>
      <c r="BH71" s="149" t="str">
        <f t="shared" si="97"/>
        <v/>
      </c>
      <c r="BI71" s="149" t="str">
        <f t="shared" si="97"/>
        <v/>
      </c>
      <c r="BJ71" s="149" t="str">
        <f t="shared" si="97"/>
        <v/>
      </c>
      <c r="BK71" s="149" t="str">
        <f t="shared" si="97"/>
        <v/>
      </c>
    </row>
    <row r="72" spans="24:63" ht="18.95" customHeight="1" x14ac:dyDescent="0.15">
      <c r="X72" s="34" t="str">
        <f t="shared" si="94"/>
        <v>４</v>
      </c>
      <c r="Y72" s="35" t="str">
        <f t="shared" si="94"/>
        <v/>
      </c>
      <c r="Z72" s="123" t="str">
        <f>IF(AZ98="","",ROUND(IF(AZ$109&lt;ROUNDDOWN(税率・条件!$C$18/12,0),AZ97+AZ98,AZ97*(((税率・条件!$C$18/12)-AZ$108)/AZ$107)+AZ98),0))</f>
        <v/>
      </c>
      <c r="AA72" s="172" t="str">
        <f>IF(BA98="","",ROUND(IF(BA$109&lt;ROUNDDOWN(税率・条件!$C$18/12,0),BA97+BA98,BA97*(((税率・条件!$C$18/12)-BA$108)/BA$107)+BA98),0))</f>
        <v/>
      </c>
      <c r="AB72" s="172" t="str">
        <f>IF(BB98="","",ROUND(IF(BB$109&lt;ROUNDDOWN(税率・条件!$C$18/12,0),BB97+BB98,BB97*(((税率・条件!$C$18/12)-BB$108)/BB$107)+BB98),0))</f>
        <v/>
      </c>
      <c r="AC72" s="172" t="str">
        <f>IF(BC98="","",ROUND(IF(BC$109&lt;ROUNDDOWN(税率・条件!$C$18/12,0),BC97+BC98,BC97*(((税率・条件!$C$18/12)-BC$108)/BC$107)+BC98),0))</f>
        <v/>
      </c>
      <c r="AD72" s="172" t="str">
        <f>IF(BD98="","",ROUND(IF(BD$109&lt;ROUNDDOWN(税率・条件!$C$18/12,0),BD97+BD98,BD97*(((税率・条件!$C$18/12)-BD$108)/BD$107)+BD98),0))</f>
        <v/>
      </c>
      <c r="AE72" s="172" t="str">
        <f>IF(BE98="","",ROUND(IF(BE$109&lt;ROUNDDOWN(税率・条件!$C$18/12,0),BE97+BE98,BE97*(((税率・条件!$C$18/12)-BE$108)/BE$107)+BE98),0))</f>
        <v/>
      </c>
      <c r="AF72" s="172" t="str">
        <f>IF(BF98="","",ROUND(IF(BF$109&lt;ROUNDDOWN(税率・条件!$C$18/12,0),BF97+BF98,BF97*(((税率・条件!$C$18/12)-BF$108)/BF$107)+BF98),0))</f>
        <v/>
      </c>
      <c r="AG72" s="172" t="str">
        <f>IF(BG98="","",ROUND(IF(BG$109&lt;ROUNDDOWN(税率・条件!$C$18/12,0),BG97+BG98,BG97*(((税率・条件!$C$18/12)-BG$108)/BG$107)+BG98),0))</f>
        <v/>
      </c>
      <c r="AH72" s="172" t="str">
        <f>IF(BH98="","",ROUND(IF(BH$109&lt;ROUNDDOWN(税率・条件!$C$18/12,0),BH97+BH98,BH97*(((税率・条件!$C$18/12)-BH$108)/BH$107)+BH98),0))</f>
        <v/>
      </c>
      <c r="AI72" s="367" t="str">
        <f>IF(BI98="","",ROUND(IF(BI$109&lt;ROUNDDOWN(税率・条件!$C$18/12,0),BI97+BI98,BI97*(((税率・条件!$C$18/12)-BI$108)/BI$107)+BI98),0))</f>
        <v/>
      </c>
      <c r="AJ72" s="368"/>
      <c r="AK72" s="369"/>
      <c r="AL72" s="419" t="str">
        <f>IF(BJ98="","",ROUND(IF(BJ$109&lt;ROUNDDOWN(税率・条件!$C$18/12,0),BJ97+BJ98,BJ97*(((税率・条件!$C$18/12)-BJ$108)/BJ$107)+BJ98),0))</f>
        <v/>
      </c>
      <c r="AM72" s="368"/>
      <c r="AN72" s="369"/>
      <c r="AO72" s="367" t="str">
        <f>IF(BK98="","",ROUND(IF(BK$109&lt;ROUNDDOWN(税率・条件!$C$18/12,0),BK97+BK98,BK97*(((税率・条件!$C$18/12)-BK$108)/BK$107)+BK98),0))</f>
        <v/>
      </c>
      <c r="AP72" s="368"/>
      <c r="AQ72" s="369"/>
      <c r="AR72" s="411" t="str">
        <f>IF(AH10="","",SUM(Z72:AQ72))</f>
        <v/>
      </c>
      <c r="AS72" s="412"/>
      <c r="AT72" s="413"/>
      <c r="AU72" s="156"/>
      <c r="AV72" s="154"/>
      <c r="AW72" s="129"/>
      <c r="AY72" s="150" t="s">
        <v>155</v>
      </c>
      <c r="AZ72" s="146" t="str">
        <f t="shared" ref="AZ72:BK72" si="98">IF(AJ8="","",ROUND((SUM($Y8:$Z9)/12),0))</f>
        <v/>
      </c>
      <c r="BA72" s="146" t="str">
        <f t="shared" si="98"/>
        <v/>
      </c>
      <c r="BB72" s="146" t="str">
        <f t="shared" si="98"/>
        <v/>
      </c>
      <c r="BC72" s="146" t="str">
        <f t="shared" si="98"/>
        <v/>
      </c>
      <c r="BD72" s="146" t="str">
        <f t="shared" si="98"/>
        <v/>
      </c>
      <c r="BE72" s="146" t="str">
        <f t="shared" si="98"/>
        <v/>
      </c>
      <c r="BF72" s="146" t="str">
        <f t="shared" si="98"/>
        <v/>
      </c>
      <c r="BG72" s="146" t="str">
        <f t="shared" si="98"/>
        <v/>
      </c>
      <c r="BH72" s="146" t="str">
        <f t="shared" si="98"/>
        <v/>
      </c>
      <c r="BI72" s="146" t="str">
        <f t="shared" si="98"/>
        <v/>
      </c>
      <c r="BJ72" s="146" t="str">
        <f t="shared" si="98"/>
        <v/>
      </c>
      <c r="BK72" s="146" t="str">
        <f t="shared" si="98"/>
        <v/>
      </c>
    </row>
    <row r="73" spans="24:63" ht="18.95" customHeight="1" x14ac:dyDescent="0.15">
      <c r="X73" s="34" t="str">
        <f t="shared" si="94"/>
        <v>５</v>
      </c>
      <c r="Y73" s="35" t="str">
        <f t="shared" si="94"/>
        <v/>
      </c>
      <c r="Z73" s="123" t="str">
        <f>IF(AZ100="","",ROUND(IF(AZ$109&lt;ROUNDDOWN(税率・条件!$C$18/12,0),AZ99+AZ100,AZ99*(((税率・条件!$C$18/12)-AZ$108)/AZ$107)+AZ100),0))</f>
        <v/>
      </c>
      <c r="AA73" s="172" t="str">
        <f>IF(BA100="","",ROUND(IF(BA$109&lt;ROUNDDOWN(税率・条件!$C$18/12,0),BA99+BA100,BA99*(((税率・条件!$C$18/12)-BA$108)/BA$107)+BA100),0))</f>
        <v/>
      </c>
      <c r="AB73" s="172" t="str">
        <f>IF(BB100="","",ROUND(IF(BB$109&lt;ROUNDDOWN(税率・条件!$C$18/12,0),BB99+BB100,BB99*(((税率・条件!$C$18/12)-BB$108)/BB$107)+BB100),0))</f>
        <v/>
      </c>
      <c r="AC73" s="172" t="str">
        <f>IF(BC100="","",ROUND(IF(BC$109&lt;ROUNDDOWN(税率・条件!$C$18/12,0),BC99+BC100,BC99*(((税率・条件!$C$18/12)-BC$108)/BC$107)+BC100),0))</f>
        <v/>
      </c>
      <c r="AD73" s="172" t="str">
        <f>IF(BD100="","",ROUND(IF(BD$109&lt;ROUNDDOWN(税率・条件!$C$18/12,0),BD99+BD100,BD99*(((税率・条件!$C$18/12)-BD$108)/BD$107)+BD100),0))</f>
        <v/>
      </c>
      <c r="AE73" s="172" t="str">
        <f>IF(BE100="","",ROUND(IF(BE$109&lt;ROUNDDOWN(税率・条件!$C$18/12,0),BE99+BE100,BE99*(((税率・条件!$C$18/12)-BE$108)/BE$107)+BE100),0))</f>
        <v/>
      </c>
      <c r="AF73" s="172" t="str">
        <f>IF(BF100="","",ROUND(IF(BF$109&lt;ROUNDDOWN(税率・条件!$C$18/12,0),BF99+BF100,BF99*(((税率・条件!$C$18/12)-BF$108)/BF$107)+BF100),0))</f>
        <v/>
      </c>
      <c r="AG73" s="172" t="str">
        <f>IF(BG100="","",ROUND(IF(BG$109&lt;ROUNDDOWN(税率・条件!$C$18/12,0),BG99+BG100,BG99*(((税率・条件!$C$18/12)-BG$108)/BG$107)+BG100),0))</f>
        <v/>
      </c>
      <c r="AH73" s="172" t="str">
        <f>IF(BH100="","",ROUND(IF(BH$109&lt;ROUNDDOWN(税率・条件!$C$18/12,0),BH99+BH100,BH99*(((税率・条件!$C$18/12)-BH$108)/BH$107)+BH100),0))</f>
        <v/>
      </c>
      <c r="AI73" s="367" t="str">
        <f>IF(BI100="","",ROUND(IF(BI$109&lt;ROUNDDOWN(税率・条件!$C$18/12,0),BI99+BI100,BI99*(((税率・条件!$C$18/12)-BI$108)/BI$107)+BI100),0))</f>
        <v/>
      </c>
      <c r="AJ73" s="368"/>
      <c r="AK73" s="369"/>
      <c r="AL73" s="419" t="str">
        <f>IF(BJ100="","",ROUND(IF(BJ$109&lt;ROUNDDOWN(税率・条件!$C$18/12,0),BJ99+BJ100,BJ99*(((税率・条件!$C$18/12)-BJ$108)/BJ$107)+BJ100),0))</f>
        <v/>
      </c>
      <c r="AM73" s="368"/>
      <c r="AN73" s="369"/>
      <c r="AO73" s="367" t="str">
        <f>IF(BK100="","",ROUND(IF(BK$109&lt;ROUNDDOWN(税率・条件!$C$18/12,0),BK99+BK100,BK99*(((税率・条件!$C$18/12)-BK$108)/BK$107)+BK100),0))</f>
        <v/>
      </c>
      <c r="AP73" s="368"/>
      <c r="AQ73" s="369"/>
      <c r="AR73" s="411" t="str">
        <f>IF(AH12="","",SUM(Z73:AQ73))</f>
        <v/>
      </c>
      <c r="AS73" s="412"/>
      <c r="AT73" s="413"/>
      <c r="AU73" s="156"/>
      <c r="AV73" s="154"/>
      <c r="AW73" s="129"/>
      <c r="AY73" s="151" t="s">
        <v>156</v>
      </c>
      <c r="AZ73" s="149" t="str">
        <f t="shared" ref="AZ73:BK73" si="99">IF(AJ8="","",ROUND(SUM($AA8:$AB9)/12,0))</f>
        <v/>
      </c>
      <c r="BA73" s="149" t="str">
        <f t="shared" si="99"/>
        <v/>
      </c>
      <c r="BB73" s="149" t="str">
        <f t="shared" si="99"/>
        <v/>
      </c>
      <c r="BC73" s="149" t="str">
        <f t="shared" si="99"/>
        <v/>
      </c>
      <c r="BD73" s="149" t="str">
        <f t="shared" si="99"/>
        <v/>
      </c>
      <c r="BE73" s="149" t="str">
        <f t="shared" si="99"/>
        <v/>
      </c>
      <c r="BF73" s="149" t="str">
        <f t="shared" si="99"/>
        <v/>
      </c>
      <c r="BG73" s="149" t="str">
        <f t="shared" si="99"/>
        <v/>
      </c>
      <c r="BH73" s="149" t="str">
        <f t="shared" si="99"/>
        <v/>
      </c>
      <c r="BI73" s="149" t="str">
        <f t="shared" si="99"/>
        <v/>
      </c>
      <c r="BJ73" s="149" t="str">
        <f t="shared" si="99"/>
        <v/>
      </c>
      <c r="BK73" s="149" t="str">
        <f t="shared" si="99"/>
        <v/>
      </c>
    </row>
    <row r="74" spans="24:63" ht="18.95" customHeight="1" x14ac:dyDescent="0.15">
      <c r="X74" s="34" t="str">
        <f t="shared" si="94"/>
        <v>６</v>
      </c>
      <c r="Y74" s="35" t="str">
        <f t="shared" si="94"/>
        <v/>
      </c>
      <c r="Z74" s="123" t="str">
        <f>IF(AZ102="","",ROUND(IF(AZ$109&lt;ROUNDDOWN(税率・条件!$C$18/12,0),AZ101+AZ102,AZ101*(((税率・条件!$C$18/12)-AZ$108)/AZ$107)+AZ102),0))</f>
        <v/>
      </c>
      <c r="AA74" s="172" t="str">
        <f>IF(BA102="","",ROUND(IF(BA$109&lt;ROUNDDOWN(税率・条件!$C$18/12,0),BA101+BA102,BA101*(((税率・条件!$C$18/12)-BA$108)/BA$107)+BA102),0))</f>
        <v/>
      </c>
      <c r="AB74" s="172" t="str">
        <f>IF(BB102="","",ROUND(IF(BB$109&lt;ROUNDDOWN(税率・条件!$C$18/12,0),BB101+BB102,BB101*(((税率・条件!$C$18/12)-BB$108)/BB$107)+BB102),0))</f>
        <v/>
      </c>
      <c r="AC74" s="172" t="str">
        <f>IF(BC102="","",ROUND(IF(BC$109&lt;ROUNDDOWN(税率・条件!$C$18/12,0),BC101+BC102,BC101*(((税率・条件!$C$18/12)-BC$108)/BC$107)+BC102),0))</f>
        <v/>
      </c>
      <c r="AD74" s="172" t="str">
        <f>IF(BD102="","",ROUND(IF(BD$109&lt;ROUNDDOWN(税率・条件!$C$18/12,0),BD101+BD102,BD101*(((税率・条件!$C$18/12)-BD$108)/BD$107)+BD102),0))</f>
        <v/>
      </c>
      <c r="AE74" s="172" t="str">
        <f>IF(BE102="","",ROUND(IF(BE$109&lt;ROUNDDOWN(税率・条件!$C$18/12,0),BE101+BE102,BE101*(((税率・条件!$C$18/12)-BE$108)/BE$107)+BE102),0))</f>
        <v/>
      </c>
      <c r="AF74" s="172" t="str">
        <f>IF(BF102="","",ROUND(IF(BF$109&lt;ROUNDDOWN(税率・条件!$C$18/12,0),BF101+BF102,BF101*(((税率・条件!$C$18/12)-BF$108)/BF$107)+BF102),0))</f>
        <v/>
      </c>
      <c r="AG74" s="172" t="str">
        <f>IF(BG102="","",ROUND(IF(BG$109&lt;ROUNDDOWN(税率・条件!$C$18/12,0),BG101+BG102,BG101*(((税率・条件!$C$18/12)-BG$108)/BG$107)+BG102),0))</f>
        <v/>
      </c>
      <c r="AH74" s="172" t="str">
        <f>IF(BH102="","",ROUND(IF(BH$109&lt;ROUNDDOWN(税率・条件!$C$18/12,0),BH101+BH102,BH101*(((税率・条件!$C$18/12)-BH$108)/BH$107)+BH102),0))</f>
        <v/>
      </c>
      <c r="AI74" s="367" t="str">
        <f>IF(BI102="","",ROUND(IF(BI$109&lt;ROUNDDOWN(税率・条件!$C$18/12,0),BI101+BI102,BI101*(((税率・条件!$C$18/12)-BI$108)/BI$107)+BI102),0))</f>
        <v/>
      </c>
      <c r="AJ74" s="368"/>
      <c r="AK74" s="369"/>
      <c r="AL74" s="419" t="str">
        <f>IF(BJ102="","",ROUND(IF(BJ$109&lt;ROUNDDOWN(税率・条件!$C$18/12,0),BJ101+BJ102,BJ101*(((税率・条件!$C$18/12)-BJ$108)/BJ$107)+BJ102),0))</f>
        <v/>
      </c>
      <c r="AM74" s="368"/>
      <c r="AN74" s="369"/>
      <c r="AO74" s="367" t="str">
        <f>IF(BK102="","",ROUND(IF(BK$109&lt;ROUNDDOWN(税率・条件!$C$18/12,0),BK101+BK102,BK101*(((税率・条件!$C$18/12)-BK$108)/BK$107)+BK102),0))</f>
        <v/>
      </c>
      <c r="AP74" s="368"/>
      <c r="AQ74" s="369"/>
      <c r="AR74" s="411" t="str">
        <f>IF(AH14="","",SUM(Z74:AQ74))</f>
        <v/>
      </c>
      <c r="AS74" s="412"/>
      <c r="AT74" s="413"/>
      <c r="AU74" s="156"/>
      <c r="AV74" s="154"/>
      <c r="AW74" s="129"/>
      <c r="AY74" s="150" t="s">
        <v>157</v>
      </c>
      <c r="AZ74" s="146" t="str">
        <f t="shared" ref="AZ74:BK74" si="100">IF(AJ10="","",ROUND((SUM($Y10:$Z11)/12),0))</f>
        <v/>
      </c>
      <c r="BA74" s="146" t="str">
        <f t="shared" si="100"/>
        <v/>
      </c>
      <c r="BB74" s="146" t="str">
        <f t="shared" si="100"/>
        <v/>
      </c>
      <c r="BC74" s="146" t="str">
        <f t="shared" si="100"/>
        <v/>
      </c>
      <c r="BD74" s="146" t="str">
        <f t="shared" si="100"/>
        <v/>
      </c>
      <c r="BE74" s="146" t="str">
        <f t="shared" si="100"/>
        <v/>
      </c>
      <c r="BF74" s="146" t="str">
        <f t="shared" si="100"/>
        <v/>
      </c>
      <c r="BG74" s="146" t="str">
        <f t="shared" si="100"/>
        <v/>
      </c>
      <c r="BH74" s="146" t="str">
        <f t="shared" si="100"/>
        <v/>
      </c>
      <c r="BI74" s="146" t="str">
        <f t="shared" si="100"/>
        <v/>
      </c>
      <c r="BJ74" s="146" t="str">
        <f t="shared" si="100"/>
        <v/>
      </c>
      <c r="BK74" s="146" t="str">
        <f t="shared" si="100"/>
        <v/>
      </c>
    </row>
    <row r="75" spans="24:63" ht="18.95" customHeight="1" x14ac:dyDescent="0.15">
      <c r="X75" s="34" t="str">
        <f t="shared" si="94"/>
        <v>７</v>
      </c>
      <c r="Y75" s="35" t="str">
        <f t="shared" si="94"/>
        <v/>
      </c>
      <c r="Z75" s="123" t="str">
        <f>IF(AZ104="","",ROUND(IF(AZ$109&lt;ROUNDDOWN(税率・条件!$C$18/12,0),AZ103+AZ104,AZ103*(((税率・条件!$C$18/12)-AZ$108)/AZ$107)+AZ104),0))</f>
        <v/>
      </c>
      <c r="AA75" s="172" t="str">
        <f>IF(BA104="","",ROUND(IF(BA$109&lt;ROUNDDOWN(税率・条件!$C$18/12,0),BA103+BA104,BA103*(((税率・条件!$C$18/12)-BA$108)/BA$107)+BA104),0))</f>
        <v/>
      </c>
      <c r="AB75" s="172" t="str">
        <f>IF(BB104="","",ROUND(IF(BB$109&lt;ROUNDDOWN(税率・条件!$C$18/12,0),BB103+BB104,BB103*(((税率・条件!$C$18/12)-BB$108)/BB$107)+BB104),0))</f>
        <v/>
      </c>
      <c r="AC75" s="172" t="str">
        <f>IF(BC104="","",ROUND(IF(BC$109&lt;ROUNDDOWN(税率・条件!$C$18/12,0),BC103+BC104,BC103*(((税率・条件!$C$18/12)-BC$108)/BC$107)+BC104),0))</f>
        <v/>
      </c>
      <c r="AD75" s="172" t="str">
        <f>IF(BD104="","",ROUND(IF(BD$109&lt;ROUNDDOWN(税率・条件!$C$18/12,0),BD103+BD104,BD103*(((税率・条件!$C$18/12)-BD$108)/BD$107)+BD104),0))</f>
        <v/>
      </c>
      <c r="AE75" s="172" t="str">
        <f>IF(BE104="","",ROUND(IF(BE$109&lt;ROUNDDOWN(税率・条件!$C$18/12,0),BE103+BE104,BE103*(((税率・条件!$C$18/12)-BE$108)/BE$107)+BE104),0))</f>
        <v/>
      </c>
      <c r="AF75" s="172" t="str">
        <f>IF(BF104="","",ROUND(IF(BF$109&lt;ROUNDDOWN(税率・条件!$C$18/12,0),BF103+BF104,BF103*(((税率・条件!$C$18/12)-BF$108)/BF$107)+BF104),0))</f>
        <v/>
      </c>
      <c r="AG75" s="172" t="str">
        <f>IF(BG104="","",ROUND(IF(BG$109&lt;ROUNDDOWN(税率・条件!$C$18/12,0),BG103+BG104,BG103*(((税率・条件!$C$18/12)-BG$108)/BG$107)+BG104),0))</f>
        <v/>
      </c>
      <c r="AH75" s="172" t="str">
        <f>IF(BH104="","",ROUND(IF(BH$109&lt;ROUNDDOWN(税率・条件!$C$18/12,0),BH103+BH104,BH103*(((税率・条件!$C$18/12)-BH$108)/BH$107)+BH104),0))</f>
        <v/>
      </c>
      <c r="AI75" s="367" t="str">
        <f>IF(BI104="","",ROUND(IF(BI$109&lt;ROUNDDOWN(税率・条件!$C$18/12,0),BI103+BI104,BI103*(((税率・条件!$C$18/12)-BI$108)/BI$107)+BI104),0))</f>
        <v/>
      </c>
      <c r="AJ75" s="368"/>
      <c r="AK75" s="369"/>
      <c r="AL75" s="419" t="str">
        <f>IF(BJ104="","",ROUND(IF(BJ$109&lt;ROUNDDOWN(税率・条件!$C$18/12,0),BJ103+BJ104,BJ103*(((税率・条件!$C$18/12)-BJ$108)/BJ$107)+BJ104),0))</f>
        <v/>
      </c>
      <c r="AM75" s="368"/>
      <c r="AN75" s="369"/>
      <c r="AO75" s="367" t="str">
        <f>IF(BK104="","",ROUND(IF(BK$109&lt;ROUNDDOWN(税率・条件!$C$18/12,0),BK103+BK104,BK103*(((税率・条件!$C$18/12)-BK$108)/BK$107)+BK104),0))</f>
        <v/>
      </c>
      <c r="AP75" s="368"/>
      <c r="AQ75" s="369"/>
      <c r="AR75" s="411" t="str">
        <f>IF(AH16="","",SUM(Z75:AQ75))</f>
        <v/>
      </c>
      <c r="AS75" s="412"/>
      <c r="AT75" s="413"/>
      <c r="AU75" s="156"/>
      <c r="AV75" s="154"/>
      <c r="AW75" s="129"/>
      <c r="AY75" s="151" t="s">
        <v>158</v>
      </c>
      <c r="AZ75" s="149" t="str">
        <f t="shared" ref="AZ75:BK75" si="101">IF(AJ10="","",ROUND(SUM($AA10:$AB11)/12,0))</f>
        <v/>
      </c>
      <c r="BA75" s="149" t="str">
        <f t="shared" si="101"/>
        <v/>
      </c>
      <c r="BB75" s="149" t="str">
        <f t="shared" si="101"/>
        <v/>
      </c>
      <c r="BC75" s="149" t="str">
        <f t="shared" si="101"/>
        <v/>
      </c>
      <c r="BD75" s="149" t="str">
        <f t="shared" si="101"/>
        <v/>
      </c>
      <c r="BE75" s="149" t="str">
        <f t="shared" si="101"/>
        <v/>
      </c>
      <c r="BF75" s="149" t="str">
        <f t="shared" si="101"/>
        <v/>
      </c>
      <c r="BG75" s="149" t="str">
        <f t="shared" si="101"/>
        <v/>
      </c>
      <c r="BH75" s="149" t="str">
        <f t="shared" si="101"/>
        <v/>
      </c>
      <c r="BI75" s="149" t="str">
        <f t="shared" si="101"/>
        <v/>
      </c>
      <c r="BJ75" s="149" t="str">
        <f t="shared" si="101"/>
        <v/>
      </c>
      <c r="BK75" s="149" t="str">
        <f t="shared" si="101"/>
        <v/>
      </c>
    </row>
    <row r="76" spans="24:63" ht="18.95" customHeight="1" thickBot="1" x14ac:dyDescent="0.2">
      <c r="X76" s="119" t="str">
        <f t="shared" si="94"/>
        <v>８</v>
      </c>
      <c r="Y76" s="120" t="str">
        <f t="shared" si="94"/>
        <v/>
      </c>
      <c r="Z76" s="123" t="str">
        <f>IF(AZ106="","",ROUND(IF(AZ$109&lt;ROUNDDOWN(税率・条件!$C$18/12,0),AZ105+AZ106,AZ105*(((税率・条件!$C$18/12)-AZ$108)/AZ$107)+AZ106),0))</f>
        <v/>
      </c>
      <c r="AA76" s="172" t="str">
        <f>IF(BA106="","",ROUND(IF(BA$109&lt;ROUNDDOWN(税率・条件!$C$18/12,0),BA105+BA106,BA105*(((税率・条件!$C$18/12)-BA$108)/BA$107)+BA106),0))</f>
        <v/>
      </c>
      <c r="AB76" s="172" t="str">
        <f>IF(BB106="","",ROUND(IF(BB$109&lt;ROUNDDOWN(税率・条件!$C$18/12,0),BB105+BB106,BB105*(((税率・条件!$C$18/12)-BB$108)/BB$107)+BB106),0))</f>
        <v/>
      </c>
      <c r="AC76" s="172" t="str">
        <f>IF(BC106="","",ROUND(IF(BC$109&lt;ROUNDDOWN(税率・条件!$C$18/12,0),BC105+BC106,BC105*(((税率・条件!$C$18/12)-BC$108)/BC$107)+BC106),0))</f>
        <v/>
      </c>
      <c r="AD76" s="172" t="str">
        <f>IF(BD106="","",ROUND(IF(BD$109&lt;ROUNDDOWN(税率・条件!$C$18/12,0),BD105+BD106,BD105*(((税率・条件!$C$18/12)-BD$108)/BD$107)+BD106),0))</f>
        <v/>
      </c>
      <c r="AE76" s="172" t="str">
        <f>IF(BE106="","",ROUND(IF(BE$109&lt;ROUNDDOWN(税率・条件!$C$18/12,0),BE105+BE106,BE105*(((税率・条件!$C$18/12)-BE$108)/BE$107)+BE106),0))</f>
        <v/>
      </c>
      <c r="AF76" s="172" t="str">
        <f>IF(BF106="","",ROUND(IF(BF$109&lt;ROUNDDOWN(税率・条件!$C$18/12,0),BF105+BF106,BF105*(((税率・条件!$C$18/12)-BF$108)/BF$107)+BF106),0))</f>
        <v/>
      </c>
      <c r="AG76" s="172" t="str">
        <f>IF(BG106="","",ROUND(IF(BG$109&lt;ROUNDDOWN(税率・条件!$C$18/12,0),BG105+BG106,BG105*(((税率・条件!$C$18/12)-BG$108)/BG$107)+BG106),0))</f>
        <v/>
      </c>
      <c r="AH76" s="172" t="str">
        <f>IF(BH106="","",ROUND(IF(BH$109&lt;ROUNDDOWN(税率・条件!$C$18/12,0),BH105+BH106,BH105*(((税率・条件!$C$18/12)-BH$108)/BH$107)+BH106),0))</f>
        <v/>
      </c>
      <c r="AI76" s="367" t="str">
        <f>IF(BI106="","",ROUND(IF(BI$109&lt;ROUNDDOWN(税率・条件!$C$18/12,0),BI105+BI106,BI105*(((税率・条件!$C$18/12)-BI$108)/BI$107)+BI106),0))</f>
        <v/>
      </c>
      <c r="AJ76" s="368"/>
      <c r="AK76" s="369"/>
      <c r="AL76" s="419" t="str">
        <f>IF(BJ106="","",ROUND(IF(BJ$109&lt;ROUNDDOWN(税率・条件!$C$18/12,0),BJ105+BJ106,BJ105*(((税率・条件!$C$18/12)-BJ$108)/BJ$107)+BJ106),0))</f>
        <v/>
      </c>
      <c r="AM76" s="368"/>
      <c r="AN76" s="369"/>
      <c r="AO76" s="367" t="str">
        <f>IF(BK106="","",ROUND(IF(BK$109&lt;ROUNDDOWN(税率・条件!$C$18/12,0),BK105+BK106,BK105*(((税率・条件!$C$18/12)-BK$108)/BK$107)+BK106),0))</f>
        <v/>
      </c>
      <c r="AP76" s="368"/>
      <c r="AQ76" s="369"/>
      <c r="AR76" s="411" t="str">
        <f>IF(AH18="","",SUM(Z76:AQ76))</f>
        <v/>
      </c>
      <c r="AS76" s="412"/>
      <c r="AT76" s="413"/>
      <c r="AU76" s="156"/>
      <c r="AV76" s="154"/>
      <c r="AY76" s="150" t="s">
        <v>159</v>
      </c>
      <c r="AZ76" s="146" t="str">
        <f t="shared" ref="AZ76:BK76" si="102">IF(AJ12="","",ROUND((SUM($Y12:$Z13)/12),0))</f>
        <v/>
      </c>
      <c r="BA76" s="146" t="str">
        <f t="shared" si="102"/>
        <v/>
      </c>
      <c r="BB76" s="146" t="str">
        <f t="shared" si="102"/>
        <v/>
      </c>
      <c r="BC76" s="146" t="str">
        <f t="shared" si="102"/>
        <v/>
      </c>
      <c r="BD76" s="146" t="str">
        <f t="shared" si="102"/>
        <v/>
      </c>
      <c r="BE76" s="146" t="str">
        <f t="shared" si="102"/>
        <v/>
      </c>
      <c r="BF76" s="146" t="str">
        <f t="shared" si="102"/>
        <v/>
      </c>
      <c r="BG76" s="146" t="str">
        <f t="shared" si="102"/>
        <v/>
      </c>
      <c r="BH76" s="146" t="str">
        <f t="shared" si="102"/>
        <v/>
      </c>
      <c r="BI76" s="146" t="str">
        <f t="shared" si="102"/>
        <v/>
      </c>
      <c r="BJ76" s="146" t="str">
        <f t="shared" si="102"/>
        <v/>
      </c>
      <c r="BK76" s="146" t="str">
        <f t="shared" si="102"/>
        <v/>
      </c>
    </row>
    <row r="77" spans="24:63" ht="18.95" customHeight="1" thickTop="1" thickBot="1" x14ac:dyDescent="0.2">
      <c r="X77" s="318" t="s">
        <v>136</v>
      </c>
      <c r="Y77" s="319"/>
      <c r="Z77" s="126">
        <f>SUM(Z69:Z76)</f>
        <v>0</v>
      </c>
      <c r="AA77" s="171">
        <f t="shared" ref="AA77:AH77" si="103">SUM(AA69:AA76)</f>
        <v>0</v>
      </c>
      <c r="AB77" s="171">
        <f t="shared" si="103"/>
        <v>0</v>
      </c>
      <c r="AC77" s="171">
        <f t="shared" si="103"/>
        <v>0</v>
      </c>
      <c r="AD77" s="171">
        <f t="shared" si="103"/>
        <v>0</v>
      </c>
      <c r="AE77" s="171">
        <f t="shared" si="103"/>
        <v>0</v>
      </c>
      <c r="AF77" s="171">
        <f t="shared" si="103"/>
        <v>0</v>
      </c>
      <c r="AG77" s="171">
        <f t="shared" si="103"/>
        <v>0</v>
      </c>
      <c r="AH77" s="171">
        <f t="shared" si="103"/>
        <v>0</v>
      </c>
      <c r="AI77" s="278">
        <f>SUM(AI69:AK76)</f>
        <v>0</v>
      </c>
      <c r="AJ77" s="278"/>
      <c r="AK77" s="278"/>
      <c r="AL77" s="278">
        <f t="shared" ref="AL77" si="104">SUM(AL69:AN76)</f>
        <v>0</v>
      </c>
      <c r="AM77" s="278"/>
      <c r="AN77" s="278"/>
      <c r="AO77" s="279">
        <f t="shared" ref="AO77" si="105">SUM(AO69:AQ76)</f>
        <v>0</v>
      </c>
      <c r="AP77" s="280"/>
      <c r="AQ77" s="281"/>
      <c r="AR77" s="279">
        <f t="shared" ref="AR77" si="106">SUM(AR69:AT76)</f>
        <v>0</v>
      </c>
      <c r="AS77" s="280"/>
      <c r="AT77" s="282"/>
      <c r="AU77" s="156"/>
      <c r="AV77" s="154"/>
      <c r="AY77" s="151" t="s">
        <v>160</v>
      </c>
      <c r="AZ77" s="149" t="str">
        <f t="shared" ref="AZ77:BK77" si="107">IF(AJ12="","",ROUND(SUM($AA12:$AB13)/12,0))</f>
        <v/>
      </c>
      <c r="BA77" s="149" t="str">
        <f t="shared" si="107"/>
        <v/>
      </c>
      <c r="BB77" s="149" t="str">
        <f t="shared" si="107"/>
        <v/>
      </c>
      <c r="BC77" s="149" t="str">
        <f t="shared" si="107"/>
        <v/>
      </c>
      <c r="BD77" s="149" t="str">
        <f t="shared" si="107"/>
        <v/>
      </c>
      <c r="BE77" s="149" t="str">
        <f t="shared" si="107"/>
        <v/>
      </c>
      <c r="BF77" s="149" t="str">
        <f t="shared" si="107"/>
        <v/>
      </c>
      <c r="BG77" s="149" t="str">
        <f t="shared" si="107"/>
        <v/>
      </c>
      <c r="BH77" s="149" t="str">
        <f t="shared" si="107"/>
        <v/>
      </c>
      <c r="BI77" s="149" t="str">
        <f t="shared" si="107"/>
        <v/>
      </c>
      <c r="BJ77" s="149" t="str">
        <f t="shared" si="107"/>
        <v/>
      </c>
      <c r="BK77" s="149" t="str">
        <f t="shared" si="107"/>
        <v/>
      </c>
    </row>
    <row r="78" spans="24:63" ht="18.95" customHeight="1" thickTop="1" x14ac:dyDescent="0.15">
      <c r="Y78" s="157" t="s">
        <v>169</v>
      </c>
      <c r="Z78" s="158" t="str">
        <f>IF(AZ$109&lt;ROUNDDOWN(税率・条件!$C$18/12,0),"","該当")</f>
        <v/>
      </c>
      <c r="AA78" s="158" t="str">
        <f>IF(BA$109&lt;ROUNDDOWN(税率・条件!$C$18/12,0),"","該当")</f>
        <v/>
      </c>
      <c r="AB78" s="158" t="str">
        <f>IF(BB$109&lt;ROUNDDOWN(税率・条件!$C$18/12,0),"","該当")</f>
        <v/>
      </c>
      <c r="AC78" s="158" t="str">
        <f>IF(BC$109&lt;ROUNDDOWN(税率・条件!$C$18/12,0),"","該当")</f>
        <v/>
      </c>
      <c r="AD78" s="158" t="str">
        <f>IF(BD$109&lt;ROUNDDOWN(税率・条件!$C$18/12,0),"","該当")</f>
        <v/>
      </c>
      <c r="AE78" s="158" t="str">
        <f>IF(BE$109&lt;ROUNDDOWN(税率・条件!$C$18/12,0),"","該当")</f>
        <v/>
      </c>
      <c r="AF78" s="158" t="str">
        <f>IF(BF$109&lt;ROUNDDOWN(税率・条件!$C$18/12,0),"","該当")</f>
        <v/>
      </c>
      <c r="AG78" s="158" t="str">
        <f>IF(BG$109&lt;ROUNDDOWN(税率・条件!$C$18/12,0),"","該当")</f>
        <v/>
      </c>
      <c r="AH78" s="158" t="str">
        <f>IF(BH$109&lt;ROUNDDOWN(税率・条件!$C$18/12,0),"","該当")</f>
        <v/>
      </c>
      <c r="AI78" s="283" t="str">
        <f>IF(BI$109&lt;ROUNDDOWN(税率・条件!$C$18/12,0),"","該当")</f>
        <v/>
      </c>
      <c r="AJ78" s="284"/>
      <c r="AK78" s="284"/>
      <c r="AL78" s="283" t="str">
        <f>IF(BJ$109&lt;ROUNDDOWN(税率・条件!$C$18/12,0),"","該当")</f>
        <v/>
      </c>
      <c r="AM78" s="284"/>
      <c r="AN78" s="284"/>
      <c r="AO78" s="283" t="str">
        <f>IF(BK$109&lt;ROUNDDOWN(税率・条件!$C$18/12,0),"","該当")</f>
        <v/>
      </c>
      <c r="AP78" s="284"/>
      <c r="AQ78" s="284"/>
      <c r="AU78" s="28"/>
      <c r="AV78" s="28"/>
      <c r="AY78" s="150" t="s">
        <v>161</v>
      </c>
      <c r="AZ78" s="146" t="str">
        <f t="shared" ref="AZ78:BK78" si="108">IF(AJ14="","",ROUND((SUM($Y14:$Z15)/12),0))</f>
        <v/>
      </c>
      <c r="BA78" s="146" t="str">
        <f t="shared" si="108"/>
        <v/>
      </c>
      <c r="BB78" s="146" t="str">
        <f t="shared" si="108"/>
        <v/>
      </c>
      <c r="BC78" s="146" t="str">
        <f t="shared" si="108"/>
        <v/>
      </c>
      <c r="BD78" s="146" t="str">
        <f t="shared" si="108"/>
        <v/>
      </c>
      <c r="BE78" s="146" t="str">
        <f t="shared" si="108"/>
        <v/>
      </c>
      <c r="BF78" s="146" t="str">
        <f t="shared" si="108"/>
        <v/>
      </c>
      <c r="BG78" s="146" t="str">
        <f t="shared" si="108"/>
        <v/>
      </c>
      <c r="BH78" s="146" t="str">
        <f t="shared" si="108"/>
        <v/>
      </c>
      <c r="BI78" s="146" t="str">
        <f t="shared" si="108"/>
        <v/>
      </c>
      <c r="BJ78" s="146" t="str">
        <f t="shared" si="108"/>
        <v/>
      </c>
      <c r="BK78" s="146" t="str">
        <f t="shared" si="108"/>
        <v/>
      </c>
    </row>
    <row r="79" spans="24:63" ht="8.25" customHeight="1" thickBot="1" x14ac:dyDescent="0.2">
      <c r="AU79" s="28"/>
      <c r="AV79" s="28"/>
      <c r="AY79" s="151" t="s">
        <v>162</v>
      </c>
      <c r="AZ79" s="149" t="str">
        <f t="shared" ref="AZ79:BK79" si="109">IF(AJ14="","",ROUND(SUM($AA14:$AB15)/12,0))</f>
        <v/>
      </c>
      <c r="BA79" s="149" t="str">
        <f t="shared" si="109"/>
        <v/>
      </c>
      <c r="BB79" s="149" t="str">
        <f t="shared" si="109"/>
        <v/>
      </c>
      <c r="BC79" s="149" t="str">
        <f t="shared" si="109"/>
        <v/>
      </c>
      <c r="BD79" s="149" t="str">
        <f t="shared" si="109"/>
        <v/>
      </c>
      <c r="BE79" s="149" t="str">
        <f t="shared" si="109"/>
        <v/>
      </c>
      <c r="BF79" s="149" t="str">
        <f t="shared" si="109"/>
        <v/>
      </c>
      <c r="BG79" s="149" t="str">
        <f t="shared" si="109"/>
        <v/>
      </c>
      <c r="BH79" s="149" t="str">
        <f t="shared" si="109"/>
        <v/>
      </c>
      <c r="BI79" s="149" t="str">
        <f t="shared" si="109"/>
        <v/>
      </c>
      <c r="BJ79" s="149" t="str">
        <f t="shared" si="109"/>
        <v/>
      </c>
      <c r="BK79" s="149" t="str">
        <f t="shared" si="109"/>
        <v/>
      </c>
    </row>
    <row r="80" spans="24:63" ht="24.75" customHeight="1" thickTop="1" thickBot="1" x14ac:dyDescent="0.2">
      <c r="X80" s="318" t="s">
        <v>141</v>
      </c>
      <c r="Y80" s="319"/>
      <c r="Z80" s="126">
        <f>SUM(Z49,Z63,Z77)</f>
        <v>0</v>
      </c>
      <c r="AA80" s="171">
        <f t="shared" ref="AA80:AR80" si="110">SUM(AA49,AA63,AA77)</f>
        <v>0</v>
      </c>
      <c r="AB80" s="171">
        <f t="shared" si="110"/>
        <v>0</v>
      </c>
      <c r="AC80" s="171">
        <f t="shared" si="110"/>
        <v>0</v>
      </c>
      <c r="AD80" s="171">
        <f t="shared" si="110"/>
        <v>0</v>
      </c>
      <c r="AE80" s="171">
        <f t="shared" si="110"/>
        <v>0</v>
      </c>
      <c r="AF80" s="171">
        <f t="shared" si="110"/>
        <v>0</v>
      </c>
      <c r="AG80" s="171">
        <f t="shared" si="110"/>
        <v>0</v>
      </c>
      <c r="AH80" s="171">
        <f t="shared" si="110"/>
        <v>0</v>
      </c>
      <c r="AI80" s="320">
        <f t="shared" si="110"/>
        <v>0</v>
      </c>
      <c r="AJ80" s="321"/>
      <c r="AK80" s="321"/>
      <c r="AL80" s="320">
        <f t="shared" si="110"/>
        <v>0</v>
      </c>
      <c r="AM80" s="321"/>
      <c r="AN80" s="321"/>
      <c r="AO80" s="320">
        <f t="shared" si="110"/>
        <v>0</v>
      </c>
      <c r="AP80" s="321"/>
      <c r="AQ80" s="321"/>
      <c r="AR80" s="320">
        <f t="shared" si="110"/>
        <v>0</v>
      </c>
      <c r="AS80" s="321"/>
      <c r="AT80" s="322"/>
      <c r="AU80" s="156"/>
      <c r="AV80" s="154"/>
      <c r="AY80" s="150" t="s">
        <v>163</v>
      </c>
      <c r="AZ80" s="146" t="str">
        <f t="shared" ref="AZ80:BK80" si="111">IF(AJ16="","",ROUND((SUM($Y16:$Z17)/12),0))</f>
        <v/>
      </c>
      <c r="BA80" s="146" t="str">
        <f t="shared" si="111"/>
        <v/>
      </c>
      <c r="BB80" s="146" t="str">
        <f t="shared" si="111"/>
        <v/>
      </c>
      <c r="BC80" s="146" t="str">
        <f t="shared" si="111"/>
        <v/>
      </c>
      <c r="BD80" s="146" t="str">
        <f t="shared" si="111"/>
        <v/>
      </c>
      <c r="BE80" s="146" t="str">
        <f t="shared" si="111"/>
        <v/>
      </c>
      <c r="BF80" s="146" t="str">
        <f t="shared" si="111"/>
        <v/>
      </c>
      <c r="BG80" s="146" t="str">
        <f t="shared" si="111"/>
        <v/>
      </c>
      <c r="BH80" s="146" t="str">
        <f t="shared" si="111"/>
        <v/>
      </c>
      <c r="BI80" s="146" t="str">
        <f t="shared" si="111"/>
        <v/>
      </c>
      <c r="BJ80" s="146" t="str">
        <f t="shared" si="111"/>
        <v/>
      </c>
      <c r="BK80" s="146" t="str">
        <f t="shared" si="111"/>
        <v/>
      </c>
    </row>
    <row r="81" spans="51:63" ht="14.25" thickTop="1" x14ac:dyDescent="0.15">
      <c r="AY81" s="151" t="s">
        <v>164</v>
      </c>
      <c r="AZ81" s="149" t="str">
        <f t="shared" ref="AZ81:BK81" si="112">IF(AJ16="","",ROUND(SUM($AA16:$AB17)/12,0))</f>
        <v/>
      </c>
      <c r="BA81" s="149" t="str">
        <f t="shared" si="112"/>
        <v/>
      </c>
      <c r="BB81" s="149" t="str">
        <f t="shared" si="112"/>
        <v/>
      </c>
      <c r="BC81" s="149" t="str">
        <f t="shared" si="112"/>
        <v/>
      </c>
      <c r="BD81" s="149" t="str">
        <f t="shared" si="112"/>
        <v/>
      </c>
      <c r="BE81" s="149" t="str">
        <f t="shared" si="112"/>
        <v/>
      </c>
      <c r="BF81" s="149" t="str">
        <f t="shared" si="112"/>
        <v/>
      </c>
      <c r="BG81" s="149" t="str">
        <f t="shared" si="112"/>
        <v/>
      </c>
      <c r="BH81" s="149" t="str">
        <f t="shared" si="112"/>
        <v/>
      </c>
      <c r="BI81" s="149" t="str">
        <f t="shared" si="112"/>
        <v/>
      </c>
      <c r="BJ81" s="149" t="str">
        <f t="shared" si="112"/>
        <v/>
      </c>
      <c r="BK81" s="149" t="str">
        <f t="shared" si="112"/>
        <v/>
      </c>
    </row>
    <row r="82" spans="51:63" x14ac:dyDescent="0.15">
      <c r="AY82" s="150" t="s">
        <v>165</v>
      </c>
      <c r="AZ82" s="146" t="str">
        <f t="shared" ref="AZ82:BK82" si="113">IF(AJ18="","",ROUND((SUM($Y18:$Z19)/12),0))</f>
        <v/>
      </c>
      <c r="BA82" s="146" t="str">
        <f t="shared" si="113"/>
        <v/>
      </c>
      <c r="BB82" s="146" t="str">
        <f t="shared" si="113"/>
        <v/>
      </c>
      <c r="BC82" s="146" t="str">
        <f t="shared" si="113"/>
        <v/>
      </c>
      <c r="BD82" s="146" t="str">
        <f t="shared" si="113"/>
        <v/>
      </c>
      <c r="BE82" s="146" t="str">
        <f t="shared" si="113"/>
        <v/>
      </c>
      <c r="BF82" s="146" t="str">
        <f t="shared" si="113"/>
        <v/>
      </c>
      <c r="BG82" s="146" t="str">
        <f t="shared" si="113"/>
        <v/>
      </c>
      <c r="BH82" s="146" t="str">
        <f t="shared" si="113"/>
        <v/>
      </c>
      <c r="BI82" s="146" t="str">
        <f t="shared" si="113"/>
        <v/>
      </c>
      <c r="BJ82" s="146" t="str">
        <f t="shared" si="113"/>
        <v/>
      </c>
      <c r="BK82" s="146" t="str">
        <f t="shared" si="113"/>
        <v/>
      </c>
    </row>
    <row r="83" spans="51:63" x14ac:dyDescent="0.15">
      <c r="AY83" s="151" t="s">
        <v>166</v>
      </c>
      <c r="AZ83" s="149" t="str">
        <f t="shared" ref="AZ83:BK83" si="114">IF(AJ18="","",ROUND(SUM($AA18:$AB19)/12,0))</f>
        <v/>
      </c>
      <c r="BA83" s="149" t="str">
        <f t="shared" si="114"/>
        <v/>
      </c>
      <c r="BB83" s="149" t="str">
        <f t="shared" si="114"/>
        <v/>
      </c>
      <c r="BC83" s="149" t="str">
        <f t="shared" si="114"/>
        <v/>
      </c>
      <c r="BD83" s="149" t="str">
        <f t="shared" si="114"/>
        <v/>
      </c>
      <c r="BE83" s="149" t="str">
        <f t="shared" si="114"/>
        <v/>
      </c>
      <c r="BF83" s="149" t="str">
        <f t="shared" si="114"/>
        <v/>
      </c>
      <c r="BG83" s="149" t="str">
        <f t="shared" si="114"/>
        <v/>
      </c>
      <c r="BH83" s="149" t="str">
        <f t="shared" si="114"/>
        <v/>
      </c>
      <c r="BI83" s="149" t="str">
        <f t="shared" si="114"/>
        <v/>
      </c>
      <c r="BJ83" s="149" t="str">
        <f t="shared" si="114"/>
        <v/>
      </c>
      <c r="BK83" s="149" t="str">
        <f t="shared" si="114"/>
        <v/>
      </c>
    </row>
    <row r="84" spans="51:63" x14ac:dyDescent="0.15">
      <c r="AY84" s="152" t="s">
        <v>167</v>
      </c>
      <c r="AZ84" s="31">
        <f>SUM(AZ68,AZ70,AZ72,AZ74,AZ76,AZ78,AZ80,AZ82)</f>
        <v>0</v>
      </c>
      <c r="BA84" s="31">
        <f t="shared" ref="BA84:BK84" si="115">SUM(BA68,BA70,BA72,BA74,BA76,BA78,BA80,BA82)</f>
        <v>0</v>
      </c>
      <c r="BB84" s="31">
        <f t="shared" si="115"/>
        <v>0</v>
      </c>
      <c r="BC84" s="31">
        <f t="shared" si="115"/>
        <v>0</v>
      </c>
      <c r="BD84" s="31">
        <f t="shared" si="115"/>
        <v>0</v>
      </c>
      <c r="BE84" s="31">
        <f t="shared" si="115"/>
        <v>0</v>
      </c>
      <c r="BF84" s="31">
        <f t="shared" si="115"/>
        <v>0</v>
      </c>
      <c r="BG84" s="31">
        <f t="shared" si="115"/>
        <v>0</v>
      </c>
      <c r="BH84" s="31">
        <f t="shared" si="115"/>
        <v>0</v>
      </c>
      <c r="BI84" s="31">
        <f t="shared" si="115"/>
        <v>0</v>
      </c>
      <c r="BJ84" s="31">
        <f t="shared" si="115"/>
        <v>0</v>
      </c>
      <c r="BK84" s="31">
        <f t="shared" si="115"/>
        <v>0</v>
      </c>
    </row>
    <row r="85" spans="51:63" x14ac:dyDescent="0.15">
      <c r="AY85" s="152" t="s">
        <v>168</v>
      </c>
      <c r="AZ85" s="31">
        <f>SUM(AZ69,AZ71,AZ73,AZ75,AZ77,AZ79,AZ81,AZ83)</f>
        <v>0</v>
      </c>
      <c r="BA85" s="31">
        <f t="shared" ref="BA85:BK85" si="116">SUM(BA69,BA71,BA73,BA75,BA77,BA79,BA81,BA83)</f>
        <v>0</v>
      </c>
      <c r="BB85" s="31">
        <f t="shared" si="116"/>
        <v>0</v>
      </c>
      <c r="BC85" s="31">
        <f t="shared" si="116"/>
        <v>0</v>
      </c>
      <c r="BD85" s="31">
        <f t="shared" si="116"/>
        <v>0</v>
      </c>
      <c r="BE85" s="31">
        <f t="shared" si="116"/>
        <v>0</v>
      </c>
      <c r="BF85" s="31">
        <f t="shared" si="116"/>
        <v>0</v>
      </c>
      <c r="BG85" s="31">
        <f t="shared" si="116"/>
        <v>0</v>
      </c>
      <c r="BH85" s="31">
        <f t="shared" si="116"/>
        <v>0</v>
      </c>
      <c r="BI85" s="31">
        <f t="shared" si="116"/>
        <v>0</v>
      </c>
      <c r="BJ85" s="31">
        <f t="shared" si="116"/>
        <v>0</v>
      </c>
      <c r="BK85" s="31">
        <f t="shared" si="116"/>
        <v>0</v>
      </c>
    </row>
    <row r="86" spans="51:63" x14ac:dyDescent="0.15">
      <c r="AY86" s="144" t="s">
        <v>150</v>
      </c>
      <c r="AZ86" s="31">
        <f>SUM(AZ84:AZ85)</f>
        <v>0</v>
      </c>
      <c r="BA86" s="31">
        <f t="shared" ref="BA86" si="117">SUM(BA84:BA85)</f>
        <v>0</v>
      </c>
      <c r="BB86" s="31">
        <f t="shared" ref="BB86" si="118">SUM(BB84:BB85)</f>
        <v>0</v>
      </c>
      <c r="BC86" s="31">
        <f t="shared" ref="BC86" si="119">SUM(BC84:BC85)</f>
        <v>0</v>
      </c>
      <c r="BD86" s="31">
        <f t="shared" ref="BD86" si="120">SUM(BD84:BD85)</f>
        <v>0</v>
      </c>
      <c r="BE86" s="31">
        <f t="shared" ref="BE86" si="121">SUM(BE84:BE85)</f>
        <v>0</v>
      </c>
      <c r="BF86" s="31">
        <f t="shared" ref="BF86" si="122">SUM(BF84:BF85)</f>
        <v>0</v>
      </c>
      <c r="BG86" s="31">
        <f t="shared" ref="BG86" si="123">SUM(BG84:BG85)</f>
        <v>0</v>
      </c>
      <c r="BH86" s="31">
        <f t="shared" ref="BH86" si="124">SUM(BH84:BH85)</f>
        <v>0</v>
      </c>
      <c r="BI86" s="31">
        <f t="shared" ref="BI86" si="125">SUM(BI84:BI85)</f>
        <v>0</v>
      </c>
      <c r="BJ86" s="31">
        <f t="shared" ref="BJ86" si="126">SUM(BJ84:BJ85)</f>
        <v>0</v>
      </c>
      <c r="BK86" s="31">
        <f t="shared" ref="BK86" si="127">SUM(BK84:BK85)</f>
        <v>0</v>
      </c>
    </row>
    <row r="87" spans="51:63" x14ac:dyDescent="0.15">
      <c r="AZ87" s="31"/>
      <c r="BA87" s="31"/>
      <c r="BB87" s="31"/>
      <c r="BC87" s="31"/>
      <c r="BD87" s="31"/>
      <c r="BE87" s="31"/>
      <c r="BF87" s="31"/>
      <c r="BG87" s="31"/>
      <c r="BH87" s="31"/>
      <c r="BI87" s="31"/>
      <c r="BJ87" s="31"/>
      <c r="BK87" s="31"/>
    </row>
    <row r="89" spans="51:63" x14ac:dyDescent="0.15">
      <c r="AZ89" s="1" t="s">
        <v>149</v>
      </c>
    </row>
    <row r="90" spans="51:63" x14ac:dyDescent="0.15">
      <c r="AY90" s="3"/>
      <c r="AZ90" s="88">
        <v>4</v>
      </c>
      <c r="BA90" s="88">
        <v>5</v>
      </c>
      <c r="BB90" s="88">
        <v>6</v>
      </c>
      <c r="BC90" s="88">
        <v>7</v>
      </c>
      <c r="BD90" s="88">
        <v>8</v>
      </c>
      <c r="BE90" s="88">
        <v>9</v>
      </c>
      <c r="BF90" s="88">
        <v>10</v>
      </c>
      <c r="BG90" s="88">
        <v>11</v>
      </c>
      <c r="BH90" s="88">
        <v>12</v>
      </c>
      <c r="BI90" s="88">
        <v>1</v>
      </c>
      <c r="BJ90" s="88">
        <v>2</v>
      </c>
      <c r="BK90" s="88">
        <v>3</v>
      </c>
    </row>
    <row r="91" spans="51:63" x14ac:dyDescent="0.15">
      <c r="AY91" s="150" t="s">
        <v>151</v>
      </c>
      <c r="AZ91" s="146" t="str">
        <f t="shared" ref="AZ91:BK91" si="128">IF(AND(AJ5="",AJ21=1),0,IF(AJ5="","",ROUND((SUM($AD4:$AE5)/12),0)))</f>
        <v/>
      </c>
      <c r="BA91" s="146" t="str">
        <f t="shared" si="128"/>
        <v/>
      </c>
      <c r="BB91" s="146" t="str">
        <f t="shared" si="128"/>
        <v/>
      </c>
      <c r="BC91" s="146" t="str">
        <f t="shared" si="128"/>
        <v/>
      </c>
      <c r="BD91" s="146" t="str">
        <f t="shared" si="128"/>
        <v/>
      </c>
      <c r="BE91" s="146" t="str">
        <f t="shared" si="128"/>
        <v/>
      </c>
      <c r="BF91" s="146" t="str">
        <f t="shared" si="128"/>
        <v/>
      </c>
      <c r="BG91" s="146" t="str">
        <f t="shared" si="128"/>
        <v/>
      </c>
      <c r="BH91" s="146" t="str">
        <f t="shared" si="128"/>
        <v/>
      </c>
      <c r="BI91" s="146" t="str">
        <f t="shared" si="128"/>
        <v/>
      </c>
      <c r="BJ91" s="146" t="str">
        <f t="shared" si="128"/>
        <v/>
      </c>
      <c r="BK91" s="146" t="str">
        <f t="shared" si="128"/>
        <v/>
      </c>
    </row>
    <row r="92" spans="51:63" x14ac:dyDescent="0.15">
      <c r="AY92" s="151" t="s">
        <v>152</v>
      </c>
      <c r="AZ92" s="149" t="str">
        <f t="shared" ref="AZ92:BK92" si="129">IF(AJ5="",IF(AJ21="","",ROUND(SUM($AG4:$AG5)/12,0)),ROUND(SUM($AF4:$AG5)/12,0))</f>
        <v/>
      </c>
      <c r="BA92" s="149" t="str">
        <f t="shared" si="129"/>
        <v/>
      </c>
      <c r="BB92" s="149" t="str">
        <f t="shared" si="129"/>
        <v/>
      </c>
      <c r="BC92" s="149" t="str">
        <f t="shared" si="129"/>
        <v/>
      </c>
      <c r="BD92" s="149" t="str">
        <f t="shared" si="129"/>
        <v/>
      </c>
      <c r="BE92" s="149" t="str">
        <f t="shared" si="129"/>
        <v/>
      </c>
      <c r="BF92" s="149" t="str">
        <f t="shared" si="129"/>
        <v/>
      </c>
      <c r="BG92" s="149" t="str">
        <f t="shared" si="129"/>
        <v/>
      </c>
      <c r="BH92" s="149" t="str">
        <f t="shared" si="129"/>
        <v/>
      </c>
      <c r="BI92" s="149" t="str">
        <f t="shared" si="129"/>
        <v/>
      </c>
      <c r="BJ92" s="149" t="str">
        <f t="shared" si="129"/>
        <v/>
      </c>
      <c r="BK92" s="149" t="str">
        <f t="shared" si="129"/>
        <v/>
      </c>
    </row>
    <row r="93" spans="51:63" x14ac:dyDescent="0.15">
      <c r="AY93" s="150" t="s">
        <v>153</v>
      </c>
      <c r="AZ93" s="146" t="str">
        <f t="shared" ref="AZ93:BK93" si="130">IF(AJ7="","",ROUND((SUM($AD6:$AE7)/12),0))</f>
        <v/>
      </c>
      <c r="BA93" s="146" t="str">
        <f t="shared" si="130"/>
        <v/>
      </c>
      <c r="BB93" s="146" t="str">
        <f t="shared" si="130"/>
        <v/>
      </c>
      <c r="BC93" s="146" t="str">
        <f t="shared" si="130"/>
        <v/>
      </c>
      <c r="BD93" s="146" t="str">
        <f t="shared" si="130"/>
        <v/>
      </c>
      <c r="BE93" s="146" t="str">
        <f t="shared" si="130"/>
        <v/>
      </c>
      <c r="BF93" s="146" t="str">
        <f t="shared" si="130"/>
        <v/>
      </c>
      <c r="BG93" s="146" t="str">
        <f t="shared" si="130"/>
        <v/>
      </c>
      <c r="BH93" s="146" t="str">
        <f t="shared" si="130"/>
        <v/>
      </c>
      <c r="BI93" s="146" t="str">
        <f t="shared" si="130"/>
        <v/>
      </c>
      <c r="BJ93" s="146" t="str">
        <f t="shared" si="130"/>
        <v/>
      </c>
      <c r="BK93" s="146" t="str">
        <f t="shared" si="130"/>
        <v/>
      </c>
    </row>
    <row r="94" spans="51:63" x14ac:dyDescent="0.15">
      <c r="AY94" s="151" t="s">
        <v>154</v>
      </c>
      <c r="AZ94" s="149" t="str">
        <f t="shared" ref="AZ94:BK94" si="131">IF(AJ7="","",ROUND(SUM($AF6:$AG7)/12,0))</f>
        <v/>
      </c>
      <c r="BA94" s="149" t="str">
        <f t="shared" si="131"/>
        <v/>
      </c>
      <c r="BB94" s="149" t="str">
        <f t="shared" si="131"/>
        <v/>
      </c>
      <c r="BC94" s="149" t="str">
        <f t="shared" si="131"/>
        <v/>
      </c>
      <c r="BD94" s="149" t="str">
        <f t="shared" si="131"/>
        <v/>
      </c>
      <c r="BE94" s="149" t="str">
        <f t="shared" si="131"/>
        <v/>
      </c>
      <c r="BF94" s="149" t="str">
        <f t="shared" si="131"/>
        <v/>
      </c>
      <c r="BG94" s="149" t="str">
        <f t="shared" si="131"/>
        <v/>
      </c>
      <c r="BH94" s="149" t="str">
        <f t="shared" si="131"/>
        <v/>
      </c>
      <c r="BI94" s="149" t="str">
        <f t="shared" si="131"/>
        <v/>
      </c>
      <c r="BJ94" s="149" t="str">
        <f t="shared" si="131"/>
        <v/>
      </c>
      <c r="BK94" s="149" t="str">
        <f t="shared" si="131"/>
        <v/>
      </c>
    </row>
    <row r="95" spans="51:63" x14ac:dyDescent="0.15">
      <c r="AY95" s="150" t="s">
        <v>155</v>
      </c>
      <c r="AZ95" s="146" t="str">
        <f t="shared" ref="AZ95:BK95" si="132">IF(AJ9="","",ROUND((SUM($AD8:$AE9)/12),0))</f>
        <v/>
      </c>
      <c r="BA95" s="146" t="str">
        <f t="shared" si="132"/>
        <v/>
      </c>
      <c r="BB95" s="146" t="str">
        <f t="shared" si="132"/>
        <v/>
      </c>
      <c r="BC95" s="146" t="str">
        <f t="shared" si="132"/>
        <v/>
      </c>
      <c r="BD95" s="146" t="str">
        <f t="shared" si="132"/>
        <v/>
      </c>
      <c r="BE95" s="146" t="str">
        <f t="shared" si="132"/>
        <v/>
      </c>
      <c r="BF95" s="146" t="str">
        <f t="shared" si="132"/>
        <v/>
      </c>
      <c r="BG95" s="146" t="str">
        <f t="shared" si="132"/>
        <v/>
      </c>
      <c r="BH95" s="146" t="str">
        <f t="shared" si="132"/>
        <v/>
      </c>
      <c r="BI95" s="146" t="str">
        <f t="shared" si="132"/>
        <v/>
      </c>
      <c r="BJ95" s="146" t="str">
        <f t="shared" si="132"/>
        <v/>
      </c>
      <c r="BK95" s="146" t="str">
        <f t="shared" si="132"/>
        <v/>
      </c>
    </row>
    <row r="96" spans="51:63" x14ac:dyDescent="0.15">
      <c r="AY96" s="151" t="s">
        <v>156</v>
      </c>
      <c r="AZ96" s="149" t="str">
        <f t="shared" ref="AZ96:BK96" si="133">IF(AJ9="","",ROUND(SUM($AF8:$AG9)/12,0))</f>
        <v/>
      </c>
      <c r="BA96" s="149" t="str">
        <f t="shared" si="133"/>
        <v/>
      </c>
      <c r="BB96" s="149" t="str">
        <f t="shared" si="133"/>
        <v/>
      </c>
      <c r="BC96" s="149" t="str">
        <f t="shared" si="133"/>
        <v/>
      </c>
      <c r="BD96" s="149" t="str">
        <f t="shared" si="133"/>
        <v/>
      </c>
      <c r="BE96" s="149" t="str">
        <f t="shared" si="133"/>
        <v/>
      </c>
      <c r="BF96" s="149" t="str">
        <f t="shared" si="133"/>
        <v/>
      </c>
      <c r="BG96" s="149" t="str">
        <f t="shared" si="133"/>
        <v/>
      </c>
      <c r="BH96" s="149" t="str">
        <f t="shared" si="133"/>
        <v/>
      </c>
      <c r="BI96" s="149" t="str">
        <f t="shared" si="133"/>
        <v/>
      </c>
      <c r="BJ96" s="149" t="str">
        <f t="shared" si="133"/>
        <v/>
      </c>
      <c r="BK96" s="149" t="str">
        <f t="shared" si="133"/>
        <v/>
      </c>
    </row>
    <row r="97" spans="51:63" x14ac:dyDescent="0.15">
      <c r="AY97" s="150" t="s">
        <v>157</v>
      </c>
      <c r="AZ97" s="146" t="str">
        <f t="shared" ref="AZ97:BK97" si="134">IF(AJ11="","",ROUND((SUM($AD10:$AE11)/12),0))</f>
        <v/>
      </c>
      <c r="BA97" s="146" t="str">
        <f t="shared" si="134"/>
        <v/>
      </c>
      <c r="BB97" s="146" t="str">
        <f t="shared" si="134"/>
        <v/>
      </c>
      <c r="BC97" s="146" t="str">
        <f t="shared" si="134"/>
        <v/>
      </c>
      <c r="BD97" s="146" t="str">
        <f t="shared" si="134"/>
        <v/>
      </c>
      <c r="BE97" s="146" t="str">
        <f t="shared" si="134"/>
        <v/>
      </c>
      <c r="BF97" s="146" t="str">
        <f t="shared" si="134"/>
        <v/>
      </c>
      <c r="BG97" s="146" t="str">
        <f t="shared" si="134"/>
        <v/>
      </c>
      <c r="BH97" s="146" t="str">
        <f t="shared" si="134"/>
        <v/>
      </c>
      <c r="BI97" s="146" t="str">
        <f t="shared" si="134"/>
        <v/>
      </c>
      <c r="BJ97" s="146" t="str">
        <f t="shared" si="134"/>
        <v/>
      </c>
      <c r="BK97" s="146" t="str">
        <f t="shared" si="134"/>
        <v/>
      </c>
    </row>
    <row r="98" spans="51:63" x14ac:dyDescent="0.15">
      <c r="AY98" s="151" t="s">
        <v>158</v>
      </c>
      <c r="AZ98" s="149" t="str">
        <f t="shared" ref="AZ98:BK98" si="135">IF(AJ11="","",ROUND(SUM($AF10:$AG11)/12,0))</f>
        <v/>
      </c>
      <c r="BA98" s="149" t="str">
        <f t="shared" si="135"/>
        <v/>
      </c>
      <c r="BB98" s="149" t="str">
        <f t="shared" si="135"/>
        <v/>
      </c>
      <c r="BC98" s="149" t="str">
        <f t="shared" si="135"/>
        <v/>
      </c>
      <c r="BD98" s="149" t="str">
        <f t="shared" si="135"/>
        <v/>
      </c>
      <c r="BE98" s="149" t="str">
        <f t="shared" si="135"/>
        <v/>
      </c>
      <c r="BF98" s="149" t="str">
        <f t="shared" si="135"/>
        <v/>
      </c>
      <c r="BG98" s="149" t="str">
        <f t="shared" si="135"/>
        <v/>
      </c>
      <c r="BH98" s="149" t="str">
        <f t="shared" si="135"/>
        <v/>
      </c>
      <c r="BI98" s="149" t="str">
        <f t="shared" si="135"/>
        <v/>
      </c>
      <c r="BJ98" s="149" t="str">
        <f t="shared" si="135"/>
        <v/>
      </c>
      <c r="BK98" s="149" t="str">
        <f t="shared" si="135"/>
        <v/>
      </c>
    </row>
    <row r="99" spans="51:63" x14ac:dyDescent="0.15">
      <c r="AY99" s="150" t="s">
        <v>159</v>
      </c>
      <c r="AZ99" s="146" t="str">
        <f t="shared" ref="AZ99:BK99" si="136">IF(AJ13="","",ROUND((SUM($AD12:$AE13)/12),0))</f>
        <v/>
      </c>
      <c r="BA99" s="146" t="str">
        <f t="shared" si="136"/>
        <v/>
      </c>
      <c r="BB99" s="146" t="str">
        <f t="shared" si="136"/>
        <v/>
      </c>
      <c r="BC99" s="146" t="str">
        <f t="shared" si="136"/>
        <v/>
      </c>
      <c r="BD99" s="146" t="str">
        <f t="shared" si="136"/>
        <v/>
      </c>
      <c r="BE99" s="146" t="str">
        <f t="shared" si="136"/>
        <v/>
      </c>
      <c r="BF99" s="146" t="str">
        <f t="shared" si="136"/>
        <v/>
      </c>
      <c r="BG99" s="146" t="str">
        <f t="shared" si="136"/>
        <v/>
      </c>
      <c r="BH99" s="146" t="str">
        <f t="shared" si="136"/>
        <v/>
      </c>
      <c r="BI99" s="146" t="str">
        <f t="shared" si="136"/>
        <v/>
      </c>
      <c r="BJ99" s="146" t="str">
        <f t="shared" si="136"/>
        <v/>
      </c>
      <c r="BK99" s="146" t="str">
        <f t="shared" si="136"/>
        <v/>
      </c>
    </row>
    <row r="100" spans="51:63" x14ac:dyDescent="0.15">
      <c r="AY100" s="151" t="s">
        <v>160</v>
      </c>
      <c r="AZ100" s="149" t="str">
        <f t="shared" ref="AZ100:BK100" si="137">IF(AJ13="","",ROUND(SUM($AF12:$AG13)/12,0))</f>
        <v/>
      </c>
      <c r="BA100" s="149" t="str">
        <f t="shared" si="137"/>
        <v/>
      </c>
      <c r="BB100" s="149" t="str">
        <f t="shared" si="137"/>
        <v/>
      </c>
      <c r="BC100" s="149" t="str">
        <f t="shared" si="137"/>
        <v/>
      </c>
      <c r="BD100" s="149" t="str">
        <f t="shared" si="137"/>
        <v/>
      </c>
      <c r="BE100" s="149" t="str">
        <f t="shared" si="137"/>
        <v/>
      </c>
      <c r="BF100" s="149" t="str">
        <f t="shared" si="137"/>
        <v/>
      </c>
      <c r="BG100" s="149" t="str">
        <f t="shared" si="137"/>
        <v/>
      </c>
      <c r="BH100" s="149" t="str">
        <f t="shared" si="137"/>
        <v/>
      </c>
      <c r="BI100" s="149" t="str">
        <f t="shared" si="137"/>
        <v/>
      </c>
      <c r="BJ100" s="149" t="str">
        <f t="shared" si="137"/>
        <v/>
      </c>
      <c r="BK100" s="149" t="str">
        <f t="shared" si="137"/>
        <v/>
      </c>
    </row>
    <row r="101" spans="51:63" x14ac:dyDescent="0.15">
      <c r="AY101" s="150" t="s">
        <v>161</v>
      </c>
      <c r="AZ101" s="146" t="str">
        <f t="shared" ref="AZ101:BK101" si="138">IF(AJ15="","",ROUND((SUM($AD14:$AE15)/12),0))</f>
        <v/>
      </c>
      <c r="BA101" s="146" t="str">
        <f t="shared" si="138"/>
        <v/>
      </c>
      <c r="BB101" s="146" t="str">
        <f t="shared" si="138"/>
        <v/>
      </c>
      <c r="BC101" s="146" t="str">
        <f t="shared" si="138"/>
        <v/>
      </c>
      <c r="BD101" s="146" t="str">
        <f t="shared" si="138"/>
        <v/>
      </c>
      <c r="BE101" s="146" t="str">
        <f t="shared" si="138"/>
        <v/>
      </c>
      <c r="BF101" s="146" t="str">
        <f t="shared" si="138"/>
        <v/>
      </c>
      <c r="BG101" s="146" t="str">
        <f t="shared" si="138"/>
        <v/>
      </c>
      <c r="BH101" s="146" t="str">
        <f t="shared" si="138"/>
        <v/>
      </c>
      <c r="BI101" s="146" t="str">
        <f t="shared" si="138"/>
        <v/>
      </c>
      <c r="BJ101" s="146" t="str">
        <f t="shared" si="138"/>
        <v/>
      </c>
      <c r="BK101" s="146" t="str">
        <f t="shared" si="138"/>
        <v/>
      </c>
    </row>
    <row r="102" spans="51:63" x14ac:dyDescent="0.15">
      <c r="AY102" s="151" t="s">
        <v>162</v>
      </c>
      <c r="AZ102" s="149" t="str">
        <f t="shared" ref="AZ102:BK102" si="139">IF(AJ15="","",ROUND(SUM($AF14:$AG15)/12,0))</f>
        <v/>
      </c>
      <c r="BA102" s="149" t="str">
        <f t="shared" si="139"/>
        <v/>
      </c>
      <c r="BB102" s="149" t="str">
        <f t="shared" si="139"/>
        <v/>
      </c>
      <c r="BC102" s="149" t="str">
        <f t="shared" si="139"/>
        <v/>
      </c>
      <c r="BD102" s="149" t="str">
        <f t="shared" si="139"/>
        <v/>
      </c>
      <c r="BE102" s="149" t="str">
        <f t="shared" si="139"/>
        <v/>
      </c>
      <c r="BF102" s="149" t="str">
        <f t="shared" si="139"/>
        <v/>
      </c>
      <c r="BG102" s="149" t="str">
        <f t="shared" si="139"/>
        <v/>
      </c>
      <c r="BH102" s="149" t="str">
        <f t="shared" si="139"/>
        <v/>
      </c>
      <c r="BI102" s="149" t="str">
        <f t="shared" si="139"/>
        <v/>
      </c>
      <c r="BJ102" s="149" t="str">
        <f t="shared" si="139"/>
        <v/>
      </c>
      <c r="BK102" s="149" t="str">
        <f t="shared" si="139"/>
        <v/>
      </c>
    </row>
    <row r="103" spans="51:63" x14ac:dyDescent="0.15">
      <c r="AY103" s="150" t="s">
        <v>163</v>
      </c>
      <c r="AZ103" s="146" t="str">
        <f t="shared" ref="AZ103:BK103" si="140">IF(AJ17="","",ROUND((SUM($AD16:$AE17)/12),0))</f>
        <v/>
      </c>
      <c r="BA103" s="146" t="str">
        <f t="shared" si="140"/>
        <v/>
      </c>
      <c r="BB103" s="146" t="str">
        <f t="shared" si="140"/>
        <v/>
      </c>
      <c r="BC103" s="146" t="str">
        <f t="shared" si="140"/>
        <v/>
      </c>
      <c r="BD103" s="146" t="str">
        <f t="shared" si="140"/>
        <v/>
      </c>
      <c r="BE103" s="146" t="str">
        <f t="shared" si="140"/>
        <v/>
      </c>
      <c r="BF103" s="146" t="str">
        <f t="shared" si="140"/>
        <v/>
      </c>
      <c r="BG103" s="146" t="str">
        <f t="shared" si="140"/>
        <v/>
      </c>
      <c r="BH103" s="146" t="str">
        <f t="shared" si="140"/>
        <v/>
      </c>
      <c r="BI103" s="146" t="str">
        <f t="shared" si="140"/>
        <v/>
      </c>
      <c r="BJ103" s="146" t="str">
        <f t="shared" si="140"/>
        <v/>
      </c>
      <c r="BK103" s="146" t="str">
        <f t="shared" si="140"/>
        <v/>
      </c>
    </row>
    <row r="104" spans="51:63" x14ac:dyDescent="0.15">
      <c r="AY104" s="151" t="s">
        <v>164</v>
      </c>
      <c r="AZ104" s="149" t="str">
        <f t="shared" ref="AZ104:BK104" si="141">IF(AJ17="","",ROUND(SUM($AF16:$AG17)/12,0))</f>
        <v/>
      </c>
      <c r="BA104" s="149" t="str">
        <f t="shared" si="141"/>
        <v/>
      </c>
      <c r="BB104" s="149" t="str">
        <f t="shared" si="141"/>
        <v/>
      </c>
      <c r="BC104" s="149" t="str">
        <f t="shared" si="141"/>
        <v/>
      </c>
      <c r="BD104" s="149" t="str">
        <f t="shared" si="141"/>
        <v/>
      </c>
      <c r="BE104" s="149" t="str">
        <f t="shared" si="141"/>
        <v/>
      </c>
      <c r="BF104" s="149" t="str">
        <f t="shared" si="141"/>
        <v/>
      </c>
      <c r="BG104" s="149" t="str">
        <f t="shared" si="141"/>
        <v/>
      </c>
      <c r="BH104" s="149" t="str">
        <f t="shared" si="141"/>
        <v/>
      </c>
      <c r="BI104" s="149" t="str">
        <f t="shared" si="141"/>
        <v/>
      </c>
      <c r="BJ104" s="149" t="str">
        <f t="shared" si="141"/>
        <v/>
      </c>
      <c r="BK104" s="149" t="str">
        <f t="shared" si="141"/>
        <v/>
      </c>
    </row>
    <row r="105" spans="51:63" x14ac:dyDescent="0.15">
      <c r="AY105" s="150" t="s">
        <v>165</v>
      </c>
      <c r="AZ105" s="146" t="str">
        <f t="shared" ref="AZ105:BK105" si="142">IF(AJ19="","",ROUND((SUM($AD18:$AE19)/12),0))</f>
        <v/>
      </c>
      <c r="BA105" s="146" t="str">
        <f t="shared" si="142"/>
        <v/>
      </c>
      <c r="BB105" s="146" t="str">
        <f t="shared" si="142"/>
        <v/>
      </c>
      <c r="BC105" s="146" t="str">
        <f t="shared" si="142"/>
        <v/>
      </c>
      <c r="BD105" s="146" t="str">
        <f t="shared" si="142"/>
        <v/>
      </c>
      <c r="BE105" s="146" t="str">
        <f t="shared" si="142"/>
        <v/>
      </c>
      <c r="BF105" s="146" t="str">
        <f t="shared" si="142"/>
        <v/>
      </c>
      <c r="BG105" s="146" t="str">
        <f t="shared" si="142"/>
        <v/>
      </c>
      <c r="BH105" s="146" t="str">
        <f t="shared" si="142"/>
        <v/>
      </c>
      <c r="BI105" s="146" t="str">
        <f t="shared" si="142"/>
        <v/>
      </c>
      <c r="BJ105" s="146" t="str">
        <f t="shared" si="142"/>
        <v/>
      </c>
      <c r="BK105" s="146" t="str">
        <f t="shared" si="142"/>
        <v/>
      </c>
    </row>
    <row r="106" spans="51:63" x14ac:dyDescent="0.15">
      <c r="AY106" s="151" t="s">
        <v>166</v>
      </c>
      <c r="AZ106" s="149" t="str">
        <f t="shared" ref="AZ106:BK106" si="143">IF(AJ19="","",ROUND(SUM($AF18:$AG19)/12,0))</f>
        <v/>
      </c>
      <c r="BA106" s="149" t="str">
        <f t="shared" si="143"/>
        <v/>
      </c>
      <c r="BB106" s="149" t="str">
        <f t="shared" si="143"/>
        <v/>
      </c>
      <c r="BC106" s="149" t="str">
        <f t="shared" si="143"/>
        <v/>
      </c>
      <c r="BD106" s="149" t="str">
        <f t="shared" si="143"/>
        <v/>
      </c>
      <c r="BE106" s="149" t="str">
        <f t="shared" si="143"/>
        <v/>
      </c>
      <c r="BF106" s="149" t="str">
        <f t="shared" si="143"/>
        <v/>
      </c>
      <c r="BG106" s="149" t="str">
        <f t="shared" si="143"/>
        <v/>
      </c>
      <c r="BH106" s="149" t="str">
        <f t="shared" si="143"/>
        <v/>
      </c>
      <c r="BI106" s="149" t="str">
        <f t="shared" si="143"/>
        <v/>
      </c>
      <c r="BJ106" s="149" t="str">
        <f t="shared" si="143"/>
        <v/>
      </c>
      <c r="BK106" s="149" t="str">
        <f t="shared" si="143"/>
        <v/>
      </c>
    </row>
    <row r="107" spans="51:63" x14ac:dyDescent="0.15">
      <c r="AY107" s="152" t="s">
        <v>167</v>
      </c>
      <c r="AZ107" s="31">
        <f>SUM(AZ91,AZ93,AZ95,AZ97,AZ99,AZ101,AZ103,AZ105)</f>
        <v>0</v>
      </c>
      <c r="BA107" s="31">
        <f t="shared" ref="BA107:BK107" si="144">SUM(BA91,BA93,BA95,BA97,BA99,BA101,BA103,BA105)</f>
        <v>0</v>
      </c>
      <c r="BB107" s="31">
        <f t="shared" si="144"/>
        <v>0</v>
      </c>
      <c r="BC107" s="31">
        <f t="shared" si="144"/>
        <v>0</v>
      </c>
      <c r="BD107" s="31">
        <f t="shared" si="144"/>
        <v>0</v>
      </c>
      <c r="BE107" s="31">
        <f t="shared" si="144"/>
        <v>0</v>
      </c>
      <c r="BF107" s="31">
        <f t="shared" si="144"/>
        <v>0</v>
      </c>
      <c r="BG107" s="31">
        <f t="shared" si="144"/>
        <v>0</v>
      </c>
      <c r="BH107" s="31">
        <f t="shared" si="144"/>
        <v>0</v>
      </c>
      <c r="BI107" s="31">
        <f t="shared" si="144"/>
        <v>0</v>
      </c>
      <c r="BJ107" s="31">
        <f t="shared" si="144"/>
        <v>0</v>
      </c>
      <c r="BK107" s="31">
        <f t="shared" si="144"/>
        <v>0</v>
      </c>
    </row>
    <row r="108" spans="51:63" x14ac:dyDescent="0.15">
      <c r="AY108" s="152" t="s">
        <v>168</v>
      </c>
      <c r="AZ108" s="31">
        <f>SUM(AZ92,AZ94,AZ96,AZ98,AZ100,AZ102,AZ104,AZ106)</f>
        <v>0</v>
      </c>
      <c r="BA108" s="31">
        <f t="shared" ref="BA108:BK108" si="145">SUM(BA92,BA94,BA96,BA98,BA100,BA102,BA104,BA106)</f>
        <v>0</v>
      </c>
      <c r="BB108" s="31">
        <f t="shared" si="145"/>
        <v>0</v>
      </c>
      <c r="BC108" s="31">
        <f t="shared" si="145"/>
        <v>0</v>
      </c>
      <c r="BD108" s="31">
        <f t="shared" si="145"/>
        <v>0</v>
      </c>
      <c r="BE108" s="31">
        <f t="shared" si="145"/>
        <v>0</v>
      </c>
      <c r="BF108" s="31">
        <f t="shared" si="145"/>
        <v>0</v>
      </c>
      <c r="BG108" s="31">
        <f t="shared" si="145"/>
        <v>0</v>
      </c>
      <c r="BH108" s="31">
        <f t="shared" si="145"/>
        <v>0</v>
      </c>
      <c r="BI108" s="31">
        <f t="shared" si="145"/>
        <v>0</v>
      </c>
      <c r="BJ108" s="31">
        <f t="shared" si="145"/>
        <v>0</v>
      </c>
      <c r="BK108" s="31">
        <f t="shared" si="145"/>
        <v>0</v>
      </c>
    </row>
    <row r="109" spans="51:63" x14ac:dyDescent="0.15">
      <c r="AY109" s="144" t="s">
        <v>150</v>
      </c>
      <c r="AZ109" s="31">
        <f>SUM(AZ107:AZ108)</f>
        <v>0</v>
      </c>
      <c r="BA109" s="31">
        <f t="shared" ref="BA109" si="146">SUM(BA107:BA108)</f>
        <v>0</v>
      </c>
      <c r="BB109" s="31">
        <f t="shared" ref="BB109" si="147">SUM(BB107:BB108)</f>
        <v>0</v>
      </c>
      <c r="BC109" s="31">
        <f t="shared" ref="BC109" si="148">SUM(BC107:BC108)</f>
        <v>0</v>
      </c>
      <c r="BD109" s="31">
        <f t="shared" ref="BD109" si="149">SUM(BD107:BD108)</f>
        <v>0</v>
      </c>
      <c r="BE109" s="31">
        <f t="shared" ref="BE109" si="150">SUM(BE107:BE108)</f>
        <v>0</v>
      </c>
      <c r="BF109" s="31">
        <f t="shared" ref="BF109" si="151">SUM(BF107:BF108)</f>
        <v>0</v>
      </c>
      <c r="BG109" s="31">
        <f t="shared" ref="BG109" si="152">SUM(BG107:BG108)</f>
        <v>0</v>
      </c>
      <c r="BH109" s="31">
        <f t="shared" ref="BH109" si="153">SUM(BH107:BH108)</f>
        <v>0</v>
      </c>
      <c r="BI109" s="31">
        <f t="shared" ref="BI109" si="154">SUM(BI107:BI108)</f>
        <v>0</v>
      </c>
      <c r="BJ109" s="31">
        <f t="shared" ref="BJ109" si="155">SUM(BJ107:BJ108)</f>
        <v>0</v>
      </c>
      <c r="BK109" s="31">
        <f t="shared" ref="BK109" si="156">SUM(BK107:BK108)</f>
        <v>0</v>
      </c>
    </row>
  </sheetData>
  <sheetProtection password="CC2D" sheet="1" objects="1" scenarios="1"/>
  <mergeCells count="474">
    <mergeCell ref="P41:V44"/>
    <mergeCell ref="L47:T52"/>
    <mergeCell ref="AL60:AN60"/>
    <mergeCell ref="AO60:AQ60"/>
    <mergeCell ref="X77:Y77"/>
    <mergeCell ref="AI69:AK69"/>
    <mergeCell ref="AL69:AN69"/>
    <mergeCell ref="AO69:AQ69"/>
    <mergeCell ref="AR69:AT69"/>
    <mergeCell ref="AR60:AT60"/>
    <mergeCell ref="AI60:AK60"/>
    <mergeCell ref="AI76:AK76"/>
    <mergeCell ref="AL76:AN76"/>
    <mergeCell ref="AO76:AQ76"/>
    <mergeCell ref="AR76:AT76"/>
    <mergeCell ref="AI70:AK70"/>
    <mergeCell ref="AL70:AN70"/>
    <mergeCell ref="AO70:AQ70"/>
    <mergeCell ref="AR70:AT70"/>
    <mergeCell ref="AI71:AK71"/>
    <mergeCell ref="AL71:AN71"/>
    <mergeCell ref="AO71:AQ71"/>
    <mergeCell ref="AR71:AT71"/>
    <mergeCell ref="AI75:AK75"/>
    <mergeCell ref="AL75:AN75"/>
    <mergeCell ref="AO75:AQ75"/>
    <mergeCell ref="AR75:AT75"/>
    <mergeCell ref="AI72:AK72"/>
    <mergeCell ref="AL72:AN72"/>
    <mergeCell ref="AO72:AQ72"/>
    <mergeCell ref="AR72:AT72"/>
    <mergeCell ref="AI73:AK73"/>
    <mergeCell ref="AL73:AN73"/>
    <mergeCell ref="AO73:AQ73"/>
    <mergeCell ref="AR73:AT73"/>
    <mergeCell ref="AI74:AK74"/>
    <mergeCell ref="AL74:AN74"/>
    <mergeCell ref="AO74:AQ74"/>
    <mergeCell ref="AR74:AT74"/>
    <mergeCell ref="X67:X68"/>
    <mergeCell ref="Y67:Y68"/>
    <mergeCell ref="Z67:AT67"/>
    <mergeCell ref="AI68:AK68"/>
    <mergeCell ref="AL68:AN68"/>
    <mergeCell ref="AO68:AQ68"/>
    <mergeCell ref="AR68:AT68"/>
    <mergeCell ref="AI61:AK61"/>
    <mergeCell ref="AL61:AN61"/>
    <mergeCell ref="AO61:AQ61"/>
    <mergeCell ref="AR61:AT61"/>
    <mergeCell ref="X63:Y63"/>
    <mergeCell ref="AI62:AK62"/>
    <mergeCell ref="AL62:AN62"/>
    <mergeCell ref="AO62:AQ62"/>
    <mergeCell ref="AR62:AT62"/>
    <mergeCell ref="AI64:AK64"/>
    <mergeCell ref="AL64:AN64"/>
    <mergeCell ref="AO64:AQ64"/>
    <mergeCell ref="AI63:AK63"/>
    <mergeCell ref="AL63:AN63"/>
    <mergeCell ref="AO63:AQ63"/>
    <mergeCell ref="AR63:AT63"/>
    <mergeCell ref="AI59:AK59"/>
    <mergeCell ref="AL59:AN59"/>
    <mergeCell ref="AO59:AQ59"/>
    <mergeCell ref="AR59:AT59"/>
    <mergeCell ref="AI56:AK56"/>
    <mergeCell ref="AL56:AN56"/>
    <mergeCell ref="AO56:AQ56"/>
    <mergeCell ref="AR56:AT56"/>
    <mergeCell ref="AI57:AK57"/>
    <mergeCell ref="AL57:AN57"/>
    <mergeCell ref="AO57:AQ57"/>
    <mergeCell ref="AR57:AT57"/>
    <mergeCell ref="AI48:AK48"/>
    <mergeCell ref="AL48:AN48"/>
    <mergeCell ref="AO48:AQ48"/>
    <mergeCell ref="AR48:AT48"/>
    <mergeCell ref="AI49:AK49"/>
    <mergeCell ref="AL49:AN49"/>
    <mergeCell ref="AO49:AQ49"/>
    <mergeCell ref="AR49:AT49"/>
    <mergeCell ref="AI58:AK58"/>
    <mergeCell ref="AL58:AN58"/>
    <mergeCell ref="AO58:AQ58"/>
    <mergeCell ref="AR58:AT58"/>
    <mergeCell ref="AI55:AK55"/>
    <mergeCell ref="AL55:AN55"/>
    <mergeCell ref="AO55:AQ55"/>
    <mergeCell ref="AR55:AT55"/>
    <mergeCell ref="X53:X54"/>
    <mergeCell ref="Y53:Y54"/>
    <mergeCell ref="Z53:AT53"/>
    <mergeCell ref="AI54:AK54"/>
    <mergeCell ref="AL54:AN54"/>
    <mergeCell ref="AO54:AQ54"/>
    <mergeCell ref="AR54:AT54"/>
    <mergeCell ref="X49:Y49"/>
    <mergeCell ref="AI50:AK50"/>
    <mergeCell ref="AL50:AN50"/>
    <mergeCell ref="AO50:AQ50"/>
    <mergeCell ref="AR50:AT50"/>
    <mergeCell ref="AO40:AQ40"/>
    <mergeCell ref="AO42:AQ42"/>
    <mergeCell ref="AO43:AQ43"/>
    <mergeCell ref="AO46:AQ46"/>
    <mergeCell ref="AR46:AT46"/>
    <mergeCell ref="AO44:AQ44"/>
    <mergeCell ref="AR44:AT44"/>
    <mergeCell ref="AO45:AQ45"/>
    <mergeCell ref="AR45:AT45"/>
    <mergeCell ref="AO41:AQ41"/>
    <mergeCell ref="AR41:AT41"/>
    <mergeCell ref="AI42:AK42"/>
    <mergeCell ref="AI43:AK43"/>
    <mergeCell ref="AI44:AK44"/>
    <mergeCell ref="AI47:AK47"/>
    <mergeCell ref="AL47:AN47"/>
    <mergeCell ref="AO47:AQ47"/>
    <mergeCell ref="AR47:AT47"/>
    <mergeCell ref="AI46:AK46"/>
    <mergeCell ref="AL46:AN46"/>
    <mergeCell ref="AL44:AN44"/>
    <mergeCell ref="AI45:AK45"/>
    <mergeCell ref="AL45:AN45"/>
    <mergeCell ref="AL42:AN42"/>
    <mergeCell ref="AL43:AN43"/>
    <mergeCell ref="AR42:AT42"/>
    <mergeCell ref="AR43:AT43"/>
    <mergeCell ref="AD2:AH2"/>
    <mergeCell ref="G4:G5"/>
    <mergeCell ref="H4:H5"/>
    <mergeCell ref="G6:G7"/>
    <mergeCell ref="H6:H7"/>
    <mergeCell ref="G8:G9"/>
    <mergeCell ref="H8:H9"/>
    <mergeCell ref="G10:G11"/>
    <mergeCell ref="H10:H11"/>
    <mergeCell ref="L4:L5"/>
    <mergeCell ref="L6:L7"/>
    <mergeCell ref="L8:L9"/>
    <mergeCell ref="L10:L11"/>
    <mergeCell ref="C2:H2"/>
    <mergeCell ref="I2:L2"/>
    <mergeCell ref="R2:R3"/>
    <mergeCell ref="M2:M3"/>
    <mergeCell ref="Q2:Q3"/>
    <mergeCell ref="P2:P3"/>
    <mergeCell ref="O2:O3"/>
    <mergeCell ref="N2:N3"/>
    <mergeCell ref="T2:X2"/>
    <mergeCell ref="Y2:AC2"/>
    <mergeCell ref="I4:I5"/>
    <mergeCell ref="A2:A3"/>
    <mergeCell ref="B2:B3"/>
    <mergeCell ref="L31:L32"/>
    <mergeCell ref="M31:M32"/>
    <mergeCell ref="A4:A5"/>
    <mergeCell ref="B4:B5"/>
    <mergeCell ref="D4:D5"/>
    <mergeCell ref="E4:E5"/>
    <mergeCell ref="C4:C5"/>
    <mergeCell ref="F4:F5"/>
    <mergeCell ref="A8:A9"/>
    <mergeCell ref="A10:A11"/>
    <mergeCell ref="A12:A13"/>
    <mergeCell ref="A14:A15"/>
    <mergeCell ref="G12:G13"/>
    <mergeCell ref="C8:C9"/>
    <mergeCell ref="F8:F9"/>
    <mergeCell ref="C10:C11"/>
    <mergeCell ref="F10:F11"/>
    <mergeCell ref="D6:D7"/>
    <mergeCell ref="A16:A17"/>
    <mergeCell ref="A18:A19"/>
    <mergeCell ref="B6:B7"/>
    <mergeCell ref="B8:B9"/>
    <mergeCell ref="AE4:AE5"/>
    <mergeCell ref="P4:P5"/>
    <mergeCell ref="Q4:Q5"/>
    <mergeCell ref="J4:J5"/>
    <mergeCell ref="K4:K5"/>
    <mergeCell ref="M4:M5"/>
    <mergeCell ref="N4:N5"/>
    <mergeCell ref="O4:O5"/>
    <mergeCell ref="E16:E17"/>
    <mergeCell ref="M8:M9"/>
    <mergeCell ref="K8:K9"/>
    <mergeCell ref="J8:J9"/>
    <mergeCell ref="I8:I9"/>
    <mergeCell ref="I10:I11"/>
    <mergeCell ref="J10:J11"/>
    <mergeCell ref="F6:F7"/>
    <mergeCell ref="I6:I7"/>
    <mergeCell ref="J6:J7"/>
    <mergeCell ref="K6:K7"/>
    <mergeCell ref="M6:M7"/>
    <mergeCell ref="N6:N7"/>
    <mergeCell ref="O6:O7"/>
    <mergeCell ref="E6:E7"/>
    <mergeCell ref="E8:E9"/>
    <mergeCell ref="AF4:AF5"/>
    <mergeCell ref="R12:R13"/>
    <mergeCell ref="V4:V5"/>
    <mergeCell ref="W4:W5"/>
    <mergeCell ref="X4:X5"/>
    <mergeCell ref="Y4:Y5"/>
    <mergeCell ref="Z4:Z5"/>
    <mergeCell ref="AA4:AA5"/>
    <mergeCell ref="AB4:AB5"/>
    <mergeCell ref="AC4:AC5"/>
    <mergeCell ref="AD4:AD5"/>
    <mergeCell ref="R4:R5"/>
    <mergeCell ref="T4:T5"/>
    <mergeCell ref="U4:U5"/>
    <mergeCell ref="T6:T7"/>
    <mergeCell ref="U6:U7"/>
    <mergeCell ref="V6:V7"/>
    <mergeCell ref="W6:W7"/>
    <mergeCell ref="X6:X7"/>
    <mergeCell ref="X12:X13"/>
    <mergeCell ref="T10:T11"/>
    <mergeCell ref="U10:U11"/>
    <mergeCell ref="V10:V11"/>
    <mergeCell ref="W10:W11"/>
    <mergeCell ref="AI40:AK40"/>
    <mergeCell ref="AI41:AK41"/>
    <mergeCell ref="AL41:AN41"/>
    <mergeCell ref="AC35:AD35"/>
    <mergeCell ref="P39:Q39"/>
    <mergeCell ref="P24:P28"/>
    <mergeCell ref="P29:P33"/>
    <mergeCell ref="P34:P38"/>
    <mergeCell ref="AC33:AD33"/>
    <mergeCell ref="AC34:AD34"/>
    <mergeCell ref="AC26:AD26"/>
    <mergeCell ref="AC28:AD28"/>
    <mergeCell ref="AC29:AD29"/>
    <mergeCell ref="AC30:AD30"/>
    <mergeCell ref="X24:X25"/>
    <mergeCell ref="Y24:Y25"/>
    <mergeCell ref="X39:X40"/>
    <mergeCell ref="Y39:Y40"/>
    <mergeCell ref="Z39:AT39"/>
    <mergeCell ref="AL40:AN40"/>
    <mergeCell ref="AR40:AT40"/>
    <mergeCell ref="AC25:AD25"/>
    <mergeCell ref="AC31:AD31"/>
    <mergeCell ref="AC32:AD32"/>
    <mergeCell ref="L54:T57"/>
    <mergeCell ref="L12:L13"/>
    <mergeCell ref="L14:L15"/>
    <mergeCell ref="L16:L17"/>
    <mergeCell ref="L18:L19"/>
    <mergeCell ref="F16:F17"/>
    <mergeCell ref="F18:F19"/>
    <mergeCell ref="F12:F13"/>
    <mergeCell ref="I16:I17"/>
    <mergeCell ref="J16:J17"/>
    <mergeCell ref="K16:K17"/>
    <mergeCell ref="M16:M17"/>
    <mergeCell ref="I18:I19"/>
    <mergeCell ref="J18:J19"/>
    <mergeCell ref="G16:G17"/>
    <mergeCell ref="N18:N19"/>
    <mergeCell ref="N14:N15"/>
    <mergeCell ref="K18:K19"/>
    <mergeCell ref="M18:M19"/>
    <mergeCell ref="I12:I13"/>
    <mergeCell ref="J12:J13"/>
    <mergeCell ref="K12:K13"/>
    <mergeCell ref="M12:M13"/>
    <mergeCell ref="I14:I15"/>
    <mergeCell ref="B10:B11"/>
    <mergeCell ref="B12:B13"/>
    <mergeCell ref="B14:B15"/>
    <mergeCell ref="B16:B17"/>
    <mergeCell ref="B18:B19"/>
    <mergeCell ref="A6:A7"/>
    <mergeCell ref="C6:C7"/>
    <mergeCell ref="C16:C17"/>
    <mergeCell ref="C18:C19"/>
    <mergeCell ref="C12:C13"/>
    <mergeCell ref="C14:C15"/>
    <mergeCell ref="D18:D19"/>
    <mergeCell ref="E10:E11"/>
    <mergeCell ref="E12:E13"/>
    <mergeCell ref="E14:E15"/>
    <mergeCell ref="H16:H17"/>
    <mergeCell ref="G18:G19"/>
    <mergeCell ref="H18:H19"/>
    <mergeCell ref="E18:E19"/>
    <mergeCell ref="D8:D9"/>
    <mergeCell ref="D10:D11"/>
    <mergeCell ref="D12:D13"/>
    <mergeCell ref="D14:D15"/>
    <mergeCell ref="D16:D17"/>
    <mergeCell ref="F14:F15"/>
    <mergeCell ref="H12:H13"/>
    <mergeCell ref="G14:G15"/>
    <mergeCell ref="H14:H15"/>
    <mergeCell ref="J14:J15"/>
    <mergeCell ref="K14:K15"/>
    <mergeCell ref="M14:M15"/>
    <mergeCell ref="R6:R7"/>
    <mergeCell ref="N8:N9"/>
    <mergeCell ref="O8:O9"/>
    <mergeCell ref="P8:P9"/>
    <mergeCell ref="Q8:Q9"/>
    <mergeCell ref="R8:R9"/>
    <mergeCell ref="Q6:Q7"/>
    <mergeCell ref="P6:P7"/>
    <mergeCell ref="K10:K11"/>
    <mergeCell ref="M10:M11"/>
    <mergeCell ref="O14:O15"/>
    <mergeCell ref="P14:P15"/>
    <mergeCell ref="Q14:Q15"/>
    <mergeCell ref="R14:R15"/>
    <mergeCell ref="N12:N13"/>
    <mergeCell ref="O12:O13"/>
    <mergeCell ref="P12:P13"/>
    <mergeCell ref="Q12:Q13"/>
    <mergeCell ref="O18:O19"/>
    <mergeCell ref="P18:P19"/>
    <mergeCell ref="Q18:Q19"/>
    <mergeCell ref="R18:R19"/>
    <mergeCell ref="N16:N17"/>
    <mergeCell ref="O16:O17"/>
    <mergeCell ref="P16:P17"/>
    <mergeCell ref="Q16:Q17"/>
    <mergeCell ref="R16:R17"/>
    <mergeCell ref="X10:X11"/>
    <mergeCell ref="N10:N11"/>
    <mergeCell ref="O10:O11"/>
    <mergeCell ref="P10:P11"/>
    <mergeCell ref="Q10:Q11"/>
    <mergeCell ref="R10:R11"/>
    <mergeCell ref="T8:T9"/>
    <mergeCell ref="U8:U9"/>
    <mergeCell ref="V8:V9"/>
    <mergeCell ref="W8:W9"/>
    <mergeCell ref="X8:X9"/>
    <mergeCell ref="Y6:Y7"/>
    <mergeCell ref="Z6:Z7"/>
    <mergeCell ref="AA6:AA7"/>
    <mergeCell ref="AB6:AB7"/>
    <mergeCell ref="AC6:AC7"/>
    <mergeCell ref="T18:T19"/>
    <mergeCell ref="U18:U19"/>
    <mergeCell ref="V18:V19"/>
    <mergeCell ref="W18:W19"/>
    <mergeCell ref="X18:X19"/>
    <mergeCell ref="T16:T17"/>
    <mergeCell ref="U16:U17"/>
    <mergeCell ref="V16:V17"/>
    <mergeCell ref="W16:W17"/>
    <mergeCell ref="X16:X17"/>
    <mergeCell ref="T14:T15"/>
    <mergeCell ref="U14:U15"/>
    <mergeCell ref="V14:V15"/>
    <mergeCell ref="W14:W15"/>
    <mergeCell ref="X14:X15"/>
    <mergeCell ref="T12:T13"/>
    <mergeCell ref="U12:U13"/>
    <mergeCell ref="V12:V13"/>
    <mergeCell ref="W12:W13"/>
    <mergeCell ref="Z12:Z13"/>
    <mergeCell ref="AB8:AB9"/>
    <mergeCell ref="AB10:AB11"/>
    <mergeCell ref="AB12:AB13"/>
    <mergeCell ref="AB14:AB15"/>
    <mergeCell ref="AB16:AB17"/>
    <mergeCell ref="AB18:AB19"/>
    <mergeCell ref="AA8:AA9"/>
    <mergeCell ref="AA10:AA11"/>
    <mergeCell ref="AA12:AA13"/>
    <mergeCell ref="AA14:AA15"/>
    <mergeCell ref="AA16:AA17"/>
    <mergeCell ref="AG8:AG9"/>
    <mergeCell ref="AH8:AH9"/>
    <mergeCell ref="AG4:AG5"/>
    <mergeCell ref="AH4:AH5"/>
    <mergeCell ref="AI2:AU2"/>
    <mergeCell ref="AC18:AC19"/>
    <mergeCell ref="AD6:AD7"/>
    <mergeCell ref="AE6:AE7"/>
    <mergeCell ref="AF6:AF7"/>
    <mergeCell ref="AG6:AG7"/>
    <mergeCell ref="AD10:AD11"/>
    <mergeCell ref="AE10:AE11"/>
    <mergeCell ref="AF10:AF11"/>
    <mergeCell ref="AG10:AG11"/>
    <mergeCell ref="AD14:AD15"/>
    <mergeCell ref="AE14:AE15"/>
    <mergeCell ref="AF14:AF15"/>
    <mergeCell ref="AG14:AG15"/>
    <mergeCell ref="AD18:AD19"/>
    <mergeCell ref="AE18:AE19"/>
    <mergeCell ref="AF18:AF19"/>
    <mergeCell ref="AC8:AC9"/>
    <mergeCell ref="AC10:AC11"/>
    <mergeCell ref="AC12:AC13"/>
    <mergeCell ref="X80:Y80"/>
    <mergeCell ref="AI80:AK80"/>
    <mergeCell ref="AL80:AN80"/>
    <mergeCell ref="AO80:AQ80"/>
    <mergeCell ref="AR80:AT80"/>
    <mergeCell ref="AW2:AW3"/>
    <mergeCell ref="AG18:AG19"/>
    <mergeCell ref="AH18:AH19"/>
    <mergeCell ref="AH14:AH15"/>
    <mergeCell ref="AD16:AD17"/>
    <mergeCell ref="AE16:AE17"/>
    <mergeCell ref="AF16:AF17"/>
    <mergeCell ref="AG16:AG17"/>
    <mergeCell ref="AH16:AH17"/>
    <mergeCell ref="AH10:AH11"/>
    <mergeCell ref="AD12:AD13"/>
    <mergeCell ref="AE12:AE13"/>
    <mergeCell ref="AF12:AF13"/>
    <mergeCell ref="AG12:AG13"/>
    <mergeCell ref="AH12:AH13"/>
    <mergeCell ref="AH6:AH7"/>
    <mergeCell ref="AD8:AD9"/>
    <mergeCell ref="AE8:AE9"/>
    <mergeCell ref="AF8:AF9"/>
    <mergeCell ref="AC27:AD27"/>
    <mergeCell ref="S2:S3"/>
    <mergeCell ref="S4:S5"/>
    <mergeCell ref="S6:S7"/>
    <mergeCell ref="S8:S9"/>
    <mergeCell ref="S10:S11"/>
    <mergeCell ref="S12:S13"/>
    <mergeCell ref="S14:S15"/>
    <mergeCell ref="S16:S17"/>
    <mergeCell ref="S18:S19"/>
    <mergeCell ref="Z14:Z15"/>
    <mergeCell ref="Z16:Z17"/>
    <mergeCell ref="Z18:Z19"/>
    <mergeCell ref="Y8:Y9"/>
    <mergeCell ref="Y10:Y11"/>
    <mergeCell ref="Y12:Y13"/>
    <mergeCell ref="Y14:Y15"/>
    <mergeCell ref="Y16:Y17"/>
    <mergeCell ref="AC14:AC15"/>
    <mergeCell ref="AC16:AC17"/>
    <mergeCell ref="AA18:AA19"/>
    <mergeCell ref="Y18:Y19"/>
    <mergeCell ref="Z8:Z9"/>
    <mergeCell ref="Z10:Z11"/>
    <mergeCell ref="AI77:AK77"/>
    <mergeCell ref="AL77:AN77"/>
    <mergeCell ref="AO77:AQ77"/>
    <mergeCell ref="AR77:AT77"/>
    <mergeCell ref="AI78:AK78"/>
    <mergeCell ref="AL78:AN78"/>
    <mergeCell ref="AO78:AQ78"/>
    <mergeCell ref="R24:T24"/>
    <mergeCell ref="R25:T25"/>
    <mergeCell ref="R26:T26"/>
    <mergeCell ref="R27:T27"/>
    <mergeCell ref="R28:T28"/>
    <mergeCell ref="R29:T29"/>
    <mergeCell ref="R30:T30"/>
    <mergeCell ref="R31:T31"/>
    <mergeCell ref="R32:T32"/>
    <mergeCell ref="R33:T33"/>
    <mergeCell ref="R34:T34"/>
    <mergeCell ref="R35:T35"/>
    <mergeCell ref="R36:T36"/>
    <mergeCell ref="R37:T37"/>
    <mergeCell ref="R38:T38"/>
    <mergeCell ref="R39:T39"/>
    <mergeCell ref="Z24:AD24"/>
  </mergeCells>
  <phoneticPr fontId="2"/>
  <conditionalFormatting sqref="Z26">
    <cfRule type="expression" dxfId="44" priority="108" stopIfTrue="1">
      <formula>$V$4=""</formula>
    </cfRule>
  </conditionalFormatting>
  <conditionalFormatting sqref="AA26">
    <cfRule type="expression" dxfId="43" priority="109" stopIfTrue="1">
      <formula>$AA$4=""</formula>
    </cfRule>
  </conditionalFormatting>
  <conditionalFormatting sqref="X26:Y26 X41:Y41 X55:Y55 X69:Y69">
    <cfRule type="expression" dxfId="42" priority="110" stopIfTrue="1">
      <formula>$X$26="擬　主"</formula>
    </cfRule>
  </conditionalFormatting>
  <conditionalFormatting sqref="AB26">
    <cfRule type="expression" dxfId="41" priority="111" stopIfTrue="1">
      <formula>AND($AF$4="",$AG$4&lt;&gt;"")</formula>
    </cfRule>
  </conditionalFormatting>
  <conditionalFormatting sqref="L35:M35">
    <cfRule type="expression" dxfId="40" priority="37">
      <formula>$M$35&lt;&gt;""</formula>
    </cfRule>
  </conditionalFormatting>
  <conditionalFormatting sqref="L47:T52">
    <cfRule type="expression" dxfId="39" priority="36">
      <formula>$L$47&lt;&gt;""</formula>
    </cfRule>
  </conditionalFormatting>
  <conditionalFormatting sqref="Z55 Z41">
    <cfRule type="expression" dxfId="38" priority="32">
      <formula>AND($AJ$4="",$AJ$20&lt;&gt;"")</formula>
    </cfRule>
  </conditionalFormatting>
  <conditionalFormatting sqref="AA41 AA55">
    <cfRule type="expression" dxfId="37" priority="31">
      <formula>AND($AK$4="",$AK$20&lt;&gt;"")</formula>
    </cfRule>
  </conditionalFormatting>
  <conditionalFormatting sqref="AB41 AB55">
    <cfRule type="expression" dxfId="36" priority="30">
      <formula>AND($AL$4="",$AL$20&lt;&gt;"")</formula>
    </cfRule>
  </conditionalFormatting>
  <conditionalFormatting sqref="AC41 AC55">
    <cfRule type="expression" dxfId="35" priority="29">
      <formula>AND($AM$4="",$AM$20&lt;&gt;"")</formula>
    </cfRule>
  </conditionalFormatting>
  <conditionalFormatting sqref="AD41 AD55">
    <cfRule type="expression" dxfId="34" priority="28">
      <formula>AND($AN$4="",$AN$20&lt;&gt;"")</formula>
    </cfRule>
  </conditionalFormatting>
  <conditionalFormatting sqref="AE41 AE55">
    <cfRule type="expression" dxfId="33" priority="27">
      <formula>AND($AO$4="",$AO$20&lt;&gt;"")</formula>
    </cfRule>
  </conditionalFormatting>
  <conditionalFormatting sqref="AF41 AF55">
    <cfRule type="expression" dxfId="32" priority="26">
      <formula>AND($AP$4="",$AP$20&lt;&gt;"")</formula>
    </cfRule>
  </conditionalFormatting>
  <conditionalFormatting sqref="AG41 AG55">
    <cfRule type="expression" dxfId="31" priority="25">
      <formula>AND($AQ$4="",$AQ$20&lt;&gt;"")</formula>
    </cfRule>
  </conditionalFormatting>
  <conditionalFormatting sqref="AH41 AH55">
    <cfRule type="expression" dxfId="30" priority="24">
      <formula>AND($AR$4="",$AR$20&lt;&gt;"")</formula>
    </cfRule>
  </conditionalFormatting>
  <conditionalFormatting sqref="AI41:AK41 AI55:AK55">
    <cfRule type="expression" dxfId="29" priority="23">
      <formula>AND($AS$4="",$AS$20&lt;&gt;"")</formula>
    </cfRule>
  </conditionalFormatting>
  <conditionalFormatting sqref="AL41:AN41 AL55:AN55">
    <cfRule type="expression" dxfId="28" priority="22">
      <formula>AND($AT$4="",$AT$20&lt;&gt;"")</formula>
    </cfRule>
  </conditionalFormatting>
  <conditionalFormatting sqref="AO41:AQ41 AO55:AQ55">
    <cfRule type="expression" dxfId="27" priority="21">
      <formula>AND($AU$4="",$AU$20&lt;&gt;"")</formula>
    </cfRule>
  </conditionalFormatting>
  <conditionalFormatting sqref="Z69">
    <cfRule type="expression" dxfId="26" priority="20">
      <formula>AND($AJ$5="",$AJ$21&lt;&gt;"")</formula>
    </cfRule>
  </conditionalFormatting>
  <conditionalFormatting sqref="AA69">
    <cfRule type="expression" dxfId="25" priority="19">
      <formula>AND($AK$5="",$AK$21&lt;&gt;"")</formula>
    </cfRule>
  </conditionalFormatting>
  <conditionalFormatting sqref="AB69">
    <cfRule type="expression" dxfId="24" priority="18">
      <formula>AND($AL$5="",$AL$21&lt;&gt;"")</formula>
    </cfRule>
  </conditionalFormatting>
  <conditionalFormatting sqref="AC69">
    <cfRule type="expression" dxfId="23" priority="17">
      <formula>AND($AM$5="",$AM$21&lt;&gt;"")</formula>
    </cfRule>
  </conditionalFormatting>
  <conditionalFormatting sqref="AD69">
    <cfRule type="expression" dxfId="22" priority="16">
      <formula>AND($AN$5="",$AN$21&lt;&gt;"")</formula>
    </cfRule>
  </conditionalFormatting>
  <conditionalFormatting sqref="AE69">
    <cfRule type="expression" dxfId="21" priority="15">
      <formula>AND($AO$5="",$AO$21&lt;&gt;"")</formula>
    </cfRule>
  </conditionalFormatting>
  <conditionalFormatting sqref="AF69">
    <cfRule type="expression" dxfId="20" priority="14">
      <formula>AND($AP$5="",$AP$21&lt;&gt;"")</formula>
    </cfRule>
  </conditionalFormatting>
  <conditionalFormatting sqref="AG69">
    <cfRule type="expression" dxfId="19" priority="13">
      <formula>AND($AQ$5="",$AQ$21&lt;&gt;"")</formula>
    </cfRule>
  </conditionalFormatting>
  <conditionalFormatting sqref="AH69">
    <cfRule type="expression" dxfId="18" priority="12">
      <formula>AND($AR$5="",$AR$21&lt;&gt;"")</formula>
    </cfRule>
  </conditionalFormatting>
  <conditionalFormatting sqref="AI69:AK69">
    <cfRule type="expression" dxfId="17" priority="11">
      <formula>AND($AS$5="",$AS$21&lt;&gt;"")</formula>
    </cfRule>
  </conditionalFormatting>
  <conditionalFormatting sqref="AL69:AN69">
    <cfRule type="expression" dxfId="16" priority="10">
      <formula>AND($AT$5="",$AT$21&lt;&gt;"")</formula>
    </cfRule>
  </conditionalFormatting>
  <conditionalFormatting sqref="AO69:AQ69">
    <cfRule type="expression" dxfId="15" priority="9">
      <formula>AND($AU$5="",$AU$21&lt;&gt;"")</formula>
    </cfRule>
  </conditionalFormatting>
  <conditionalFormatting sqref="AD38 AD52">
    <cfRule type="expression" dxfId="14" priority="8">
      <formula>$AI$4=$AI$20</formula>
    </cfRule>
  </conditionalFormatting>
  <conditionalFormatting sqref="AD66">
    <cfRule type="expression" dxfId="13" priority="7">
      <formula>$AI$5=$AI$21</formula>
    </cfRule>
  </conditionalFormatting>
  <conditionalFormatting sqref="BM23">
    <cfRule type="expression" dxfId="12" priority="3">
      <formula>ROUND(BL23,0)&lt;&gt;BM23</formula>
    </cfRule>
  </conditionalFormatting>
  <conditionalFormatting sqref="BM28">
    <cfRule type="expression" dxfId="11" priority="2">
      <formula>ROUND(BL28,0)&lt;&gt;BM28</formula>
    </cfRule>
  </conditionalFormatting>
  <conditionalFormatting sqref="BM33">
    <cfRule type="expression" dxfId="10" priority="1">
      <formula>ROUND(BL33,0)&lt;&gt;BM33</formula>
    </cfRule>
  </conditionalFormatting>
  <pageMargins left="0.19685039370078741" right="3.937007874015748E-2" top="0.59055118110236227" bottom="0.15748031496062992" header="0.27" footer="7.874015748031496E-2"/>
  <pageSetup paperSize="9" scale="38" orientation="landscape" r:id="rId1"/>
  <headerFooter alignWithMargins="0">
    <oddHeader>&amp;L&amp;"ＭＳ ゴシック,標準"&amp;36注意！！　　　この帳票は、市民に交付しないこと</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07" id="{0AECF16F-68B1-4C07-BA96-7F62221E4F12}">
            <xm:f>入力!$C$25&lt;&gt;"軽減なし"</xm:f>
            <x14:dxf>
              <font>
                <b/>
                <i val="0"/>
                <color theme="0"/>
              </font>
              <fill>
                <patternFill>
                  <bgColor rgb="FFFF0000"/>
                </patternFill>
              </fill>
            </x14:dxf>
          </x14:cfRule>
          <xm:sqref>W3:W4 AB3:AB4 Q27:R27 Q32:R32</xm:sqref>
        </x14:conditionalFormatting>
        <x14:conditionalFormatting xmlns:xm="http://schemas.microsoft.com/office/excel/2006/main">
          <x14:cfRule type="expression" priority="234" id="{1F83BA0F-A222-4096-B20C-68B09E633C4C}">
            <xm:f>AND(入力!$H$25&lt;&gt;"",入力!$C$19="全員申告済み",$AW$4=$AW$20)</xm:f>
            <x14:dxf>
              <fill>
                <patternFill>
                  <bgColor rgb="FFFFFF00"/>
                </patternFill>
              </fill>
            </x14:dxf>
          </x14:cfRule>
          <xm:sqref>Q4:S5 AI4:AU4 AW4</xm:sqref>
        </x14:conditionalFormatting>
        <x14:conditionalFormatting xmlns:xm="http://schemas.microsoft.com/office/excel/2006/main">
          <x14:cfRule type="expression" priority="56" id="{A83FC49A-D08E-47C6-B99A-101892E9289F}">
            <xm:f>AND(入力!$H$25&lt;&gt;"",入力!$C$19="全員申告済み",$AW$6=$AW$20)</xm:f>
            <x14:dxf>
              <fill>
                <patternFill>
                  <bgColor rgb="FFFFFF00"/>
                </patternFill>
              </fill>
            </x14:dxf>
          </x14:cfRule>
          <xm:sqref>Q6:S7 AI6:AU6 AW6</xm:sqref>
        </x14:conditionalFormatting>
        <x14:conditionalFormatting xmlns:xm="http://schemas.microsoft.com/office/excel/2006/main">
          <x14:cfRule type="expression" priority="55" id="{B87EBDBC-341D-41E4-823D-BD0CB1EFD5D7}">
            <xm:f>AND(入力!$H$25&lt;&gt;"",入力!$C$19="全員申告済み",$AW$8=$AW$20)</xm:f>
            <x14:dxf>
              <fill>
                <patternFill>
                  <bgColor rgb="FFFFFF00"/>
                </patternFill>
              </fill>
            </x14:dxf>
          </x14:cfRule>
          <xm:sqref>Q8:S9 AI8:AU8 AW8</xm:sqref>
        </x14:conditionalFormatting>
        <x14:conditionalFormatting xmlns:xm="http://schemas.microsoft.com/office/excel/2006/main">
          <x14:cfRule type="expression" priority="54" id="{7219503D-C743-4BD1-994C-A9EF66511A00}">
            <xm:f>AND(入力!$H$25&lt;&gt;"",入力!$C$19="全員申告済み",$AW$10=$AW$20)</xm:f>
            <x14:dxf>
              <fill>
                <patternFill>
                  <bgColor rgb="FFFFFF00"/>
                </patternFill>
              </fill>
            </x14:dxf>
          </x14:cfRule>
          <xm:sqref>Q10:S11 AI10:AU10 AW10</xm:sqref>
        </x14:conditionalFormatting>
        <x14:conditionalFormatting xmlns:xm="http://schemas.microsoft.com/office/excel/2006/main">
          <x14:cfRule type="expression" priority="53" id="{2DA7048E-BEEA-4B46-8A68-890FBF40234C}">
            <xm:f>AND(入力!$H$25&lt;&gt;"",入力!$C$19="全員申告済み",$AW$12=$AW$20)</xm:f>
            <x14:dxf>
              <fill>
                <patternFill>
                  <bgColor rgb="FFFFFF00"/>
                </patternFill>
              </fill>
            </x14:dxf>
          </x14:cfRule>
          <xm:sqref>Q12:S13 AI12:AU12 AW12</xm:sqref>
        </x14:conditionalFormatting>
        <x14:conditionalFormatting xmlns:xm="http://schemas.microsoft.com/office/excel/2006/main">
          <x14:cfRule type="expression" priority="52" id="{63D204E7-8F94-4DC7-9602-A19B488E8C11}">
            <xm:f>AND(入力!$H$25&lt;&gt;"",入力!$C$19="全員申告済み",$AW$14=$AW$20)</xm:f>
            <x14:dxf>
              <fill>
                <patternFill>
                  <bgColor rgb="FFFFFF00"/>
                </patternFill>
              </fill>
            </x14:dxf>
          </x14:cfRule>
          <xm:sqref>Q14:S15 AI14:AU14 AW14</xm:sqref>
        </x14:conditionalFormatting>
        <x14:conditionalFormatting xmlns:xm="http://schemas.microsoft.com/office/excel/2006/main">
          <x14:cfRule type="expression" priority="51" id="{C72A59EA-93AA-4F15-9185-09CCE7948422}">
            <xm:f>AND(入力!$H$25&lt;&gt;"",入力!$C$19="全員申告済み",$AW$16=$AW$20)</xm:f>
            <x14:dxf>
              <fill>
                <patternFill>
                  <bgColor rgb="FFFFFF00"/>
                </patternFill>
              </fill>
            </x14:dxf>
          </x14:cfRule>
          <xm:sqref>Q16:S17 AI16:AU16 AW16</xm:sqref>
        </x14:conditionalFormatting>
        <x14:conditionalFormatting xmlns:xm="http://schemas.microsoft.com/office/excel/2006/main">
          <x14:cfRule type="expression" priority="50" id="{C03A32AB-8036-405F-AD51-6EEC51ADB621}">
            <xm:f>AND(入力!$H$25&lt;&gt;"",入力!$C$19="全員申告済み",$AW$18=$AW$20)</xm:f>
            <x14:dxf>
              <fill>
                <patternFill>
                  <bgColor rgb="FFFFFF00"/>
                </patternFill>
              </fill>
            </x14:dxf>
          </x14:cfRule>
          <xm:sqref>Q18:S19 AI18:AU18 AW18</xm:sqref>
        </x14:conditionalFormatting>
        <x14:conditionalFormatting xmlns:xm="http://schemas.microsoft.com/office/excel/2006/main">
          <x14:cfRule type="expression" priority="49" id="{AC6A8372-5E31-4368-BCE0-D008E01CE092}">
            <xm:f>AND(入力!$H$25&lt;&gt;"",入力!$C$19="全員申告済み")</xm:f>
            <x14:dxf>
              <fill>
                <patternFill>
                  <bgColor rgb="FFFFFF00"/>
                </patternFill>
              </fill>
            </x14:dxf>
          </x14:cfRule>
          <xm:sqref>AW20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
  <sheetViews>
    <sheetView zoomScaleNormal="100" workbookViewId="0">
      <selection activeCell="H7" sqref="H7"/>
    </sheetView>
  </sheetViews>
  <sheetFormatPr defaultRowHeight="13.5" x14ac:dyDescent="0.15"/>
  <cols>
    <col min="1" max="1" width="6.25" style="18" customWidth="1"/>
    <col min="2" max="2" width="20.875" style="18" customWidth="1"/>
    <col min="3" max="3" width="17.875" style="18" customWidth="1"/>
    <col min="4" max="4" width="9" style="18"/>
    <col min="5" max="5" width="10.125" style="18" customWidth="1"/>
    <col min="6" max="7" width="9.75" style="18" bestFit="1" customWidth="1"/>
    <col min="8" max="8" width="6.375" style="18" customWidth="1"/>
    <col min="9" max="16384" width="9" style="18"/>
  </cols>
  <sheetData>
    <row r="1" spans="1:8" ht="21" x14ac:dyDescent="0.15">
      <c r="A1" s="428" t="s">
        <v>10</v>
      </c>
      <c r="B1" s="429"/>
      <c r="C1" s="61">
        <v>6</v>
      </c>
    </row>
    <row r="3" spans="1:8" ht="59.25" customHeight="1" x14ac:dyDescent="0.15">
      <c r="A3" s="430"/>
      <c r="B3" s="431"/>
      <c r="C3" s="75" t="s">
        <v>87</v>
      </c>
    </row>
    <row r="4" spans="1:8" ht="20.100000000000001" customHeight="1" x14ac:dyDescent="0.15">
      <c r="A4" s="424" t="s">
        <v>4</v>
      </c>
      <c r="B4" s="19" t="s">
        <v>0</v>
      </c>
      <c r="C4" s="20">
        <v>6.4</v>
      </c>
      <c r="E4" s="21"/>
      <c r="F4" s="22" t="s">
        <v>11</v>
      </c>
      <c r="G4" s="22" t="s">
        <v>12</v>
      </c>
      <c r="H4" s="22" t="s">
        <v>13</v>
      </c>
    </row>
    <row r="5" spans="1:8" ht="20.100000000000001" customHeight="1" x14ac:dyDescent="0.15">
      <c r="A5" s="424"/>
      <c r="B5" s="19" t="s">
        <v>1</v>
      </c>
      <c r="C5" s="20">
        <v>0</v>
      </c>
      <c r="E5" s="425" t="s">
        <v>64</v>
      </c>
      <c r="F5" s="23">
        <v>430000</v>
      </c>
      <c r="G5" s="24"/>
      <c r="H5" s="25">
        <v>0.7</v>
      </c>
    </row>
    <row r="6" spans="1:8" ht="20.100000000000001" customHeight="1" x14ac:dyDescent="0.15">
      <c r="A6" s="424"/>
      <c r="B6" s="19" t="s">
        <v>2</v>
      </c>
      <c r="C6" s="26">
        <v>24200</v>
      </c>
      <c r="E6" s="426"/>
      <c r="F6" s="23">
        <v>430000</v>
      </c>
      <c r="G6" s="62">
        <v>295000</v>
      </c>
      <c r="H6" s="25">
        <v>0.5</v>
      </c>
    </row>
    <row r="7" spans="1:8" ht="20.100000000000001" customHeight="1" x14ac:dyDescent="0.15">
      <c r="A7" s="424"/>
      <c r="B7" s="19" t="s">
        <v>3</v>
      </c>
      <c r="C7" s="26">
        <v>21400</v>
      </c>
      <c r="E7" s="427"/>
      <c r="F7" s="23">
        <v>430000</v>
      </c>
      <c r="G7" s="62">
        <v>545000</v>
      </c>
      <c r="H7" s="25">
        <v>0.2</v>
      </c>
    </row>
    <row r="8" spans="1:8" ht="20.100000000000001" customHeight="1" x14ac:dyDescent="0.15">
      <c r="A8" s="424"/>
      <c r="B8" s="19" t="s">
        <v>7</v>
      </c>
      <c r="C8" s="76">
        <v>650000</v>
      </c>
    </row>
    <row r="9" spans="1:8" ht="20.100000000000001" customHeight="1" x14ac:dyDescent="0.15">
      <c r="A9" s="424" t="s">
        <v>6</v>
      </c>
      <c r="B9" s="19" t="s">
        <v>0</v>
      </c>
      <c r="C9" s="20">
        <v>2.2000000000000002</v>
      </c>
      <c r="E9" s="426" t="s">
        <v>52</v>
      </c>
      <c r="F9" s="426"/>
      <c r="G9" s="23">
        <v>150000</v>
      </c>
    </row>
    <row r="10" spans="1:8" ht="20.100000000000001" customHeight="1" x14ac:dyDescent="0.15">
      <c r="A10" s="424"/>
      <c r="B10" s="19" t="s">
        <v>1</v>
      </c>
      <c r="C10" s="20">
        <v>0</v>
      </c>
    </row>
    <row r="11" spans="1:8" ht="20.100000000000001" customHeight="1" x14ac:dyDescent="0.15">
      <c r="A11" s="424"/>
      <c r="B11" s="19" t="s">
        <v>2</v>
      </c>
      <c r="C11" s="26">
        <v>7400</v>
      </c>
      <c r="E11" s="432" t="s">
        <v>106</v>
      </c>
      <c r="F11" s="433"/>
      <c r="G11" s="369"/>
      <c r="H11" s="25">
        <v>0.5</v>
      </c>
    </row>
    <row r="12" spans="1:8" ht="20.100000000000001" customHeight="1" x14ac:dyDescent="0.15">
      <c r="A12" s="424"/>
      <c r="B12" s="19" t="s">
        <v>3</v>
      </c>
      <c r="C12" s="26">
        <v>5800</v>
      </c>
    </row>
    <row r="13" spans="1:8" ht="20.100000000000001" customHeight="1" x14ac:dyDescent="0.15">
      <c r="A13" s="424"/>
      <c r="B13" s="19" t="s">
        <v>7</v>
      </c>
      <c r="C13" s="76">
        <v>240000</v>
      </c>
    </row>
    <row r="14" spans="1:8" ht="20.100000000000001" customHeight="1" x14ac:dyDescent="0.15">
      <c r="A14" s="424" t="s">
        <v>5</v>
      </c>
      <c r="B14" s="19" t="s">
        <v>0</v>
      </c>
      <c r="C14" s="20">
        <v>2</v>
      </c>
    </row>
    <row r="15" spans="1:8" ht="20.100000000000001" customHeight="1" x14ac:dyDescent="0.15">
      <c r="A15" s="424"/>
      <c r="B15" s="19" t="s">
        <v>1</v>
      </c>
      <c r="C15" s="20">
        <v>0</v>
      </c>
    </row>
    <row r="16" spans="1:8" ht="20.100000000000001" customHeight="1" x14ac:dyDescent="0.15">
      <c r="A16" s="424"/>
      <c r="B16" s="19" t="s">
        <v>2</v>
      </c>
      <c r="C16" s="26">
        <v>9400</v>
      </c>
    </row>
    <row r="17" spans="1:3" ht="20.100000000000001" customHeight="1" x14ac:dyDescent="0.15">
      <c r="A17" s="424"/>
      <c r="B17" s="19" t="s">
        <v>3</v>
      </c>
      <c r="C17" s="26">
        <v>6100</v>
      </c>
    </row>
    <row r="18" spans="1:3" ht="20.100000000000001" customHeight="1" x14ac:dyDescent="0.15">
      <c r="A18" s="424"/>
      <c r="B18" s="19" t="s">
        <v>7</v>
      </c>
      <c r="C18" s="76">
        <v>170000</v>
      </c>
    </row>
  </sheetData>
  <sheetProtection password="CC2D" sheet="1" selectLockedCells="1" selectUnlockedCells="1"/>
  <mergeCells count="8">
    <mergeCell ref="A14:A18"/>
    <mergeCell ref="A9:A13"/>
    <mergeCell ref="E5:E7"/>
    <mergeCell ref="E9:F9"/>
    <mergeCell ref="A1:B1"/>
    <mergeCell ref="A4:A8"/>
    <mergeCell ref="A3:B3"/>
    <mergeCell ref="E11:G11"/>
  </mergeCells>
  <phoneticPr fontId="2"/>
  <dataValidations count="2">
    <dataValidation type="whole" imeMode="off" operator="greaterThanOrEqual" allowBlank="1" showInputMessage="1" showErrorMessage="1" sqref="C16:C18 C11:C13 C6:C8">
      <formula1>0</formula1>
    </dataValidation>
    <dataValidation type="decimal" imeMode="off" operator="greaterThanOrEqual" allowBlank="1" showInputMessage="1" showErrorMessage="1" sqref="C9:C10 C4:C5 C14:C15">
      <formula1>0</formula1>
    </dataValidation>
  </dataValidations>
  <printOptions heading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3:P169"/>
  <sheetViews>
    <sheetView topLeftCell="A145" workbookViewId="0">
      <selection activeCell="A170" sqref="A170"/>
    </sheetView>
  </sheetViews>
  <sheetFormatPr defaultRowHeight="13.5" x14ac:dyDescent="0.15"/>
  <cols>
    <col min="1" max="1" width="9" style="50"/>
    <col min="2" max="2" width="13.875" style="50" bestFit="1" customWidth="1"/>
    <col min="3" max="3" width="9.25" style="50" customWidth="1"/>
    <col min="4" max="6" width="9" style="50"/>
    <col min="7" max="7" width="4.125" style="50" customWidth="1"/>
    <col min="8" max="10" width="9" style="50"/>
    <col min="11" max="11" width="9.625" style="50" customWidth="1"/>
    <col min="12" max="12" width="3.25" style="50" customWidth="1"/>
    <col min="13" max="16384" width="9" style="50"/>
  </cols>
  <sheetData>
    <row r="3" spans="1:16" x14ac:dyDescent="0.15">
      <c r="H3" s="50" t="s">
        <v>78</v>
      </c>
      <c r="M3" s="50" t="s">
        <v>79</v>
      </c>
    </row>
    <row r="4" spans="1:16" x14ac:dyDescent="0.15">
      <c r="A4" s="55" t="s">
        <v>71</v>
      </c>
      <c r="B4" s="56"/>
      <c r="C4" s="58" t="s">
        <v>69</v>
      </c>
      <c r="D4" s="57" t="s">
        <v>75</v>
      </c>
      <c r="E4" s="58" t="s">
        <v>76</v>
      </c>
      <c r="F4" s="58" t="s">
        <v>77</v>
      </c>
      <c r="H4" s="58" t="s">
        <v>69</v>
      </c>
      <c r="I4" s="58" t="s">
        <v>75</v>
      </c>
      <c r="J4" s="58" t="s">
        <v>76</v>
      </c>
      <c r="K4" s="58" t="s">
        <v>77</v>
      </c>
      <c r="M4" s="58" t="s">
        <v>69</v>
      </c>
      <c r="N4" s="58" t="s">
        <v>75</v>
      </c>
      <c r="O4" s="58" t="s">
        <v>76</v>
      </c>
      <c r="P4" s="58" t="s">
        <v>77</v>
      </c>
    </row>
    <row r="5" spans="1:16" x14ac:dyDescent="0.15">
      <c r="A5" s="53" t="s">
        <v>53</v>
      </c>
      <c r="B5" s="51" t="s">
        <v>2</v>
      </c>
      <c r="C5" s="59">
        <v>29000</v>
      </c>
      <c r="D5" s="58">
        <f t="shared" ref="D5:D10" si="0">C5*0.3</f>
        <v>8700</v>
      </c>
      <c r="E5" s="58">
        <f t="shared" ref="E5:E10" si="1">C5*0.5</f>
        <v>14500</v>
      </c>
      <c r="F5" s="58">
        <f t="shared" ref="F5:F10" si="2">C5*0.8</f>
        <v>23200</v>
      </c>
      <c r="H5" s="60"/>
      <c r="I5" s="60"/>
      <c r="J5" s="60"/>
      <c r="K5" s="60"/>
      <c r="M5" s="60"/>
      <c r="N5" s="60"/>
      <c r="O5" s="60"/>
      <c r="P5" s="60"/>
    </row>
    <row r="6" spans="1:16" x14ac:dyDescent="0.15">
      <c r="A6" s="54"/>
      <c r="B6" s="51" t="s">
        <v>3</v>
      </c>
      <c r="C6" s="52">
        <v>25500</v>
      </c>
      <c r="D6" s="58">
        <f t="shared" si="0"/>
        <v>7650</v>
      </c>
      <c r="E6" s="58">
        <f t="shared" si="1"/>
        <v>12750</v>
      </c>
      <c r="F6" s="58">
        <f t="shared" si="2"/>
        <v>20400</v>
      </c>
      <c r="H6" s="58">
        <f>C6*0.5</f>
        <v>12750</v>
      </c>
      <c r="I6" s="58">
        <f>D6*0.5</f>
        <v>3825</v>
      </c>
      <c r="J6" s="58">
        <f>E6*0.5</f>
        <v>6375</v>
      </c>
      <c r="K6" s="58">
        <f>F6*0.5</f>
        <v>10200</v>
      </c>
      <c r="M6" s="58">
        <f>C6*0.75</f>
        <v>19125</v>
      </c>
      <c r="N6" s="58">
        <f>D6*0.75</f>
        <v>5737.5</v>
      </c>
      <c r="O6" s="58">
        <f>E6*0.75</f>
        <v>9562.5</v>
      </c>
      <c r="P6" s="58">
        <f>F6*0.75</f>
        <v>15300</v>
      </c>
    </row>
    <row r="7" spans="1:16" x14ac:dyDescent="0.15">
      <c r="A7" s="53" t="s">
        <v>70</v>
      </c>
      <c r="B7" s="51" t="s">
        <v>2</v>
      </c>
      <c r="C7" s="52">
        <v>7400</v>
      </c>
      <c r="D7" s="58">
        <f t="shared" si="0"/>
        <v>2220</v>
      </c>
      <c r="E7" s="58">
        <f t="shared" si="1"/>
        <v>3700</v>
      </c>
      <c r="F7" s="58">
        <f t="shared" si="2"/>
        <v>5920</v>
      </c>
      <c r="H7" s="60"/>
      <c r="I7" s="60"/>
      <c r="J7" s="60"/>
      <c r="K7" s="60"/>
      <c r="M7" s="60"/>
      <c r="N7" s="60"/>
      <c r="O7" s="60"/>
      <c r="P7" s="60"/>
    </row>
    <row r="8" spans="1:16" x14ac:dyDescent="0.15">
      <c r="A8" s="54"/>
      <c r="B8" s="51" t="s">
        <v>3</v>
      </c>
      <c r="C8" s="52">
        <v>5800</v>
      </c>
      <c r="D8" s="58">
        <f t="shared" si="0"/>
        <v>1740</v>
      </c>
      <c r="E8" s="58">
        <f t="shared" si="1"/>
        <v>2900</v>
      </c>
      <c r="F8" s="58">
        <f t="shared" si="2"/>
        <v>4640</v>
      </c>
      <c r="H8" s="58">
        <f>C8*0.5</f>
        <v>2900</v>
      </c>
      <c r="I8" s="58">
        <f>D8*0.5</f>
        <v>870</v>
      </c>
      <c r="J8" s="58">
        <f>E8*0.5</f>
        <v>1450</v>
      </c>
      <c r="K8" s="58">
        <f>F8*0.5</f>
        <v>2320</v>
      </c>
      <c r="M8" s="58">
        <f>C8*0.75</f>
        <v>4350</v>
      </c>
      <c r="N8" s="58">
        <f>D8*0.75</f>
        <v>1305</v>
      </c>
      <c r="O8" s="58">
        <f>E8*0.75</f>
        <v>2175</v>
      </c>
      <c r="P8" s="58">
        <f>F8*0.75</f>
        <v>3480</v>
      </c>
    </row>
    <row r="9" spans="1:16" x14ac:dyDescent="0.15">
      <c r="A9" s="53" t="s">
        <v>30</v>
      </c>
      <c r="B9" s="51" t="s">
        <v>2</v>
      </c>
      <c r="C9" s="52">
        <v>9400</v>
      </c>
      <c r="D9" s="58">
        <f t="shared" si="0"/>
        <v>2820</v>
      </c>
      <c r="E9" s="58">
        <f t="shared" si="1"/>
        <v>4700</v>
      </c>
      <c r="F9" s="58">
        <f t="shared" si="2"/>
        <v>7520</v>
      </c>
      <c r="H9" s="60"/>
      <c r="I9" s="60"/>
      <c r="J9" s="60"/>
      <c r="K9" s="60"/>
      <c r="M9" s="60"/>
      <c r="N9" s="60"/>
      <c r="O9" s="60"/>
      <c r="P9" s="60"/>
    </row>
    <row r="10" spans="1:16" x14ac:dyDescent="0.15">
      <c r="A10" s="54"/>
      <c r="B10" s="51" t="s">
        <v>3</v>
      </c>
      <c r="C10" s="52">
        <v>6100</v>
      </c>
      <c r="D10" s="58">
        <f t="shared" si="0"/>
        <v>1830</v>
      </c>
      <c r="E10" s="58">
        <f t="shared" si="1"/>
        <v>3050</v>
      </c>
      <c r="F10" s="58">
        <f t="shared" si="2"/>
        <v>4880</v>
      </c>
      <c r="H10" s="60"/>
      <c r="I10" s="60"/>
      <c r="J10" s="60"/>
      <c r="K10" s="60"/>
      <c r="M10" s="60"/>
      <c r="N10" s="60"/>
      <c r="O10" s="60"/>
      <c r="P10" s="60"/>
    </row>
    <row r="12" spans="1:16" x14ac:dyDescent="0.15">
      <c r="A12" s="55" t="s">
        <v>72</v>
      </c>
      <c r="B12" s="56"/>
      <c r="C12" s="58" t="s">
        <v>69</v>
      </c>
      <c r="D12" s="57" t="s">
        <v>75</v>
      </c>
      <c r="E12" s="58" t="s">
        <v>76</v>
      </c>
      <c r="F12" s="58" t="s">
        <v>77</v>
      </c>
      <c r="H12" s="58" t="s">
        <v>69</v>
      </c>
      <c r="I12" s="58" t="s">
        <v>75</v>
      </c>
      <c r="J12" s="58" t="s">
        <v>76</v>
      </c>
      <c r="K12" s="58" t="s">
        <v>77</v>
      </c>
      <c r="M12" s="58" t="s">
        <v>69</v>
      </c>
      <c r="N12" s="58" t="s">
        <v>75</v>
      </c>
      <c r="O12" s="58" t="s">
        <v>76</v>
      </c>
      <c r="P12" s="58" t="s">
        <v>77</v>
      </c>
    </row>
    <row r="13" spans="1:16" x14ac:dyDescent="0.15">
      <c r="A13" s="53" t="s">
        <v>53</v>
      </c>
      <c r="B13" s="51" t="s">
        <v>2</v>
      </c>
      <c r="C13" s="59">
        <v>21500</v>
      </c>
      <c r="D13" s="58">
        <f t="shared" ref="D13:D18" si="3">C13*0.3</f>
        <v>6450</v>
      </c>
      <c r="E13" s="58">
        <f t="shared" ref="E13:E18" si="4">C13*0.5</f>
        <v>10750</v>
      </c>
      <c r="F13" s="58">
        <f t="shared" ref="F13:F18" si="5">C13*0.8</f>
        <v>17200</v>
      </c>
      <c r="H13" s="60"/>
      <c r="I13" s="60"/>
      <c r="J13" s="60"/>
      <c r="K13" s="60"/>
      <c r="M13" s="60"/>
      <c r="N13" s="60"/>
      <c r="O13" s="60"/>
      <c r="P13" s="60"/>
    </row>
    <row r="14" spans="1:16" x14ac:dyDescent="0.15">
      <c r="A14" s="54"/>
      <c r="B14" s="51" t="s">
        <v>3</v>
      </c>
      <c r="C14" s="52">
        <v>24500</v>
      </c>
      <c r="D14" s="58">
        <f t="shared" si="3"/>
        <v>7350</v>
      </c>
      <c r="E14" s="58">
        <f t="shared" si="4"/>
        <v>12250</v>
      </c>
      <c r="F14" s="58">
        <f t="shared" si="5"/>
        <v>19600</v>
      </c>
      <c r="H14" s="58">
        <f>C14*0.5</f>
        <v>12250</v>
      </c>
      <c r="I14" s="58">
        <f>D14*0.5</f>
        <v>3675</v>
      </c>
      <c r="J14" s="58">
        <f>E14*0.5</f>
        <v>6125</v>
      </c>
      <c r="K14" s="58">
        <f>F14*0.5</f>
        <v>9800</v>
      </c>
      <c r="M14" s="58">
        <f>C14*0.75</f>
        <v>18375</v>
      </c>
      <c r="N14" s="58">
        <f>D14*0.75</f>
        <v>5512.5</v>
      </c>
      <c r="O14" s="58">
        <f>E14*0.75</f>
        <v>9187.5</v>
      </c>
      <c r="P14" s="58">
        <f>F14*0.75</f>
        <v>14700</v>
      </c>
    </row>
    <row r="15" spans="1:16" x14ac:dyDescent="0.15">
      <c r="A15" s="53" t="s">
        <v>70</v>
      </c>
      <c r="B15" s="51" t="s">
        <v>2</v>
      </c>
      <c r="C15" s="52">
        <v>8500</v>
      </c>
      <c r="D15" s="58">
        <f t="shared" si="3"/>
        <v>2550</v>
      </c>
      <c r="E15" s="58">
        <f t="shared" si="4"/>
        <v>4250</v>
      </c>
      <c r="F15" s="58">
        <f t="shared" si="5"/>
        <v>6800</v>
      </c>
      <c r="H15" s="60"/>
      <c r="I15" s="60"/>
      <c r="J15" s="60"/>
      <c r="K15" s="60"/>
      <c r="M15" s="60"/>
      <c r="N15" s="60"/>
      <c r="O15" s="60"/>
      <c r="P15" s="60"/>
    </row>
    <row r="16" spans="1:16" x14ac:dyDescent="0.15">
      <c r="A16" s="54"/>
      <c r="B16" s="51" t="s">
        <v>3</v>
      </c>
      <c r="C16" s="52">
        <v>2800</v>
      </c>
      <c r="D16" s="58">
        <f t="shared" si="3"/>
        <v>840</v>
      </c>
      <c r="E16" s="58">
        <f t="shared" si="4"/>
        <v>1400</v>
      </c>
      <c r="F16" s="58">
        <f t="shared" si="5"/>
        <v>2240</v>
      </c>
      <c r="H16" s="58">
        <f>C16*0.5</f>
        <v>1400</v>
      </c>
      <c r="I16" s="58">
        <f>D16*0.5</f>
        <v>420</v>
      </c>
      <c r="J16" s="58">
        <f>E16*0.5</f>
        <v>700</v>
      </c>
      <c r="K16" s="58">
        <f>F16*0.5</f>
        <v>1120</v>
      </c>
      <c r="M16" s="58">
        <f>C16*0.75</f>
        <v>2100</v>
      </c>
      <c r="N16" s="58">
        <f>D16*0.75</f>
        <v>630</v>
      </c>
      <c r="O16" s="58">
        <f>E16*0.75</f>
        <v>1050</v>
      </c>
      <c r="P16" s="58">
        <f>F16*0.75</f>
        <v>1680</v>
      </c>
    </row>
    <row r="17" spans="1:16" x14ac:dyDescent="0.15">
      <c r="A17" s="53" t="s">
        <v>30</v>
      </c>
      <c r="B17" s="51" t="s">
        <v>2</v>
      </c>
      <c r="C17" s="52">
        <v>10500</v>
      </c>
      <c r="D17" s="58">
        <f t="shared" si="3"/>
        <v>3150</v>
      </c>
      <c r="E17" s="58">
        <f t="shared" si="4"/>
        <v>5250</v>
      </c>
      <c r="F17" s="58">
        <f t="shared" si="5"/>
        <v>8400</v>
      </c>
      <c r="H17" s="60"/>
      <c r="I17" s="60"/>
      <c r="J17" s="60"/>
      <c r="K17" s="60"/>
      <c r="M17" s="60"/>
      <c r="N17" s="60"/>
      <c r="O17" s="60"/>
      <c r="P17" s="60"/>
    </row>
    <row r="18" spans="1:16" x14ac:dyDescent="0.15">
      <c r="A18" s="54"/>
      <c r="B18" s="51" t="s">
        <v>3</v>
      </c>
      <c r="C18" s="52">
        <v>3000</v>
      </c>
      <c r="D18" s="58">
        <f t="shared" si="3"/>
        <v>900</v>
      </c>
      <c r="E18" s="58">
        <f t="shared" si="4"/>
        <v>1500</v>
      </c>
      <c r="F18" s="58">
        <f t="shared" si="5"/>
        <v>2400</v>
      </c>
      <c r="H18" s="60"/>
      <c r="I18" s="60"/>
      <c r="J18" s="60"/>
      <c r="K18" s="60"/>
      <c r="M18" s="60"/>
      <c r="N18" s="60"/>
      <c r="O18" s="60"/>
      <c r="P18" s="60"/>
    </row>
    <row r="21" spans="1:16" x14ac:dyDescent="0.15">
      <c r="H21" s="50" t="s">
        <v>78</v>
      </c>
      <c r="M21" s="50" t="s">
        <v>79</v>
      </c>
    </row>
    <row r="22" spans="1:16" x14ac:dyDescent="0.15">
      <c r="A22" s="55" t="s">
        <v>73</v>
      </c>
      <c r="B22" s="56"/>
      <c r="C22" s="58" t="s">
        <v>69</v>
      </c>
      <c r="D22" s="57" t="s">
        <v>75</v>
      </c>
      <c r="E22" s="58" t="s">
        <v>76</v>
      </c>
      <c r="F22" s="58" t="s">
        <v>77</v>
      </c>
      <c r="H22" s="58" t="s">
        <v>69</v>
      </c>
      <c r="I22" s="58" t="s">
        <v>75</v>
      </c>
      <c r="J22" s="58" t="s">
        <v>76</v>
      </c>
      <c r="K22" s="58" t="s">
        <v>77</v>
      </c>
      <c r="M22" s="58" t="s">
        <v>69</v>
      </c>
      <c r="N22" s="58" t="s">
        <v>75</v>
      </c>
      <c r="O22" s="58" t="s">
        <v>76</v>
      </c>
      <c r="P22" s="58" t="s">
        <v>77</v>
      </c>
    </row>
    <row r="23" spans="1:16" x14ac:dyDescent="0.15">
      <c r="A23" s="53" t="s">
        <v>53</v>
      </c>
      <c r="B23" s="51" t="s">
        <v>2</v>
      </c>
      <c r="C23" s="59">
        <v>25000</v>
      </c>
      <c r="D23" s="58">
        <f t="shared" ref="D23:D28" si="6">C23*0.3</f>
        <v>7500</v>
      </c>
      <c r="E23" s="58">
        <f t="shared" ref="E23:E28" si="7">C23*0.5</f>
        <v>12500</v>
      </c>
      <c r="F23" s="58">
        <f t="shared" ref="F23:F28" si="8">C23*0.8</f>
        <v>20000</v>
      </c>
      <c r="H23" s="60"/>
      <c r="I23" s="60"/>
      <c r="J23" s="60"/>
      <c r="K23" s="60"/>
      <c r="M23" s="60"/>
      <c r="N23" s="60"/>
      <c r="O23" s="60"/>
      <c r="P23" s="60"/>
    </row>
    <row r="24" spans="1:16" x14ac:dyDescent="0.15">
      <c r="A24" s="54"/>
      <c r="B24" s="51" t="s">
        <v>3</v>
      </c>
      <c r="C24" s="52">
        <v>23500</v>
      </c>
      <c r="D24" s="58">
        <f t="shared" si="6"/>
        <v>7050</v>
      </c>
      <c r="E24" s="58">
        <f t="shared" si="7"/>
        <v>11750</v>
      </c>
      <c r="F24" s="58">
        <f t="shared" si="8"/>
        <v>18800</v>
      </c>
      <c r="H24" s="58">
        <f>C24*0.5</f>
        <v>11750</v>
      </c>
      <c r="I24" s="58">
        <f>D24*0.5</f>
        <v>3525</v>
      </c>
      <c r="J24" s="58">
        <f>E24*0.5</f>
        <v>5875</v>
      </c>
      <c r="K24" s="58">
        <f>F24*0.5</f>
        <v>9400</v>
      </c>
      <c r="M24" s="58">
        <f>C24*0.75</f>
        <v>17625</v>
      </c>
      <c r="N24" s="58">
        <f>D24*0.75</f>
        <v>5287.5</v>
      </c>
      <c r="O24" s="58">
        <f>E24*0.75</f>
        <v>8812.5</v>
      </c>
      <c r="P24" s="58">
        <f>F24*0.75</f>
        <v>14100</v>
      </c>
    </row>
    <row r="25" spans="1:16" x14ac:dyDescent="0.15">
      <c r="A25" s="53" t="s">
        <v>70</v>
      </c>
      <c r="B25" s="51" t="s">
        <v>2</v>
      </c>
      <c r="C25" s="52">
        <v>7400</v>
      </c>
      <c r="D25" s="58">
        <f t="shared" si="6"/>
        <v>2220</v>
      </c>
      <c r="E25" s="58">
        <f t="shared" si="7"/>
        <v>3700</v>
      </c>
      <c r="F25" s="58">
        <f t="shared" si="8"/>
        <v>5920</v>
      </c>
      <c r="H25" s="60"/>
      <c r="I25" s="60"/>
      <c r="J25" s="60"/>
      <c r="K25" s="60"/>
      <c r="M25" s="60"/>
      <c r="N25" s="60"/>
      <c r="O25" s="60"/>
      <c r="P25" s="60"/>
    </row>
    <row r="26" spans="1:16" x14ac:dyDescent="0.15">
      <c r="A26" s="54"/>
      <c r="B26" s="51" t="s">
        <v>3</v>
      </c>
      <c r="C26" s="52">
        <v>5800</v>
      </c>
      <c r="D26" s="58">
        <f t="shared" si="6"/>
        <v>1740</v>
      </c>
      <c r="E26" s="58">
        <f t="shared" si="7"/>
        <v>2900</v>
      </c>
      <c r="F26" s="58">
        <f t="shared" si="8"/>
        <v>4640</v>
      </c>
      <c r="H26" s="58">
        <f>C26*0.5</f>
        <v>2900</v>
      </c>
      <c r="I26" s="58">
        <f>D26*0.5</f>
        <v>870</v>
      </c>
      <c r="J26" s="58">
        <f>E26*0.5</f>
        <v>1450</v>
      </c>
      <c r="K26" s="58">
        <f>F26*0.5</f>
        <v>2320</v>
      </c>
      <c r="M26" s="58">
        <f>C26*0.75</f>
        <v>4350</v>
      </c>
      <c r="N26" s="58">
        <f>D26*0.75</f>
        <v>1305</v>
      </c>
      <c r="O26" s="58">
        <f>E26*0.75</f>
        <v>2175</v>
      </c>
      <c r="P26" s="58">
        <f>F26*0.75</f>
        <v>3480</v>
      </c>
    </row>
    <row r="27" spans="1:16" x14ac:dyDescent="0.15">
      <c r="A27" s="53" t="s">
        <v>30</v>
      </c>
      <c r="B27" s="51" t="s">
        <v>2</v>
      </c>
      <c r="C27" s="52">
        <v>9400</v>
      </c>
      <c r="D27" s="58">
        <f t="shared" si="6"/>
        <v>2820</v>
      </c>
      <c r="E27" s="58">
        <f t="shared" si="7"/>
        <v>4700</v>
      </c>
      <c r="F27" s="58">
        <f t="shared" si="8"/>
        <v>7520</v>
      </c>
      <c r="H27" s="60"/>
      <c r="I27" s="60"/>
      <c r="J27" s="60"/>
      <c r="K27" s="60"/>
      <c r="M27" s="60"/>
      <c r="N27" s="60"/>
      <c r="O27" s="60"/>
      <c r="P27" s="60"/>
    </row>
    <row r="28" spans="1:16" x14ac:dyDescent="0.15">
      <c r="A28" s="54"/>
      <c r="B28" s="51" t="s">
        <v>3</v>
      </c>
      <c r="C28" s="52">
        <v>6100</v>
      </c>
      <c r="D28" s="58">
        <f t="shared" si="6"/>
        <v>1830</v>
      </c>
      <c r="E28" s="58">
        <f t="shared" si="7"/>
        <v>3050</v>
      </c>
      <c r="F28" s="58">
        <f t="shared" si="8"/>
        <v>4880</v>
      </c>
      <c r="H28" s="60"/>
      <c r="I28" s="60"/>
      <c r="J28" s="60"/>
      <c r="K28" s="60"/>
      <c r="M28" s="60"/>
      <c r="N28" s="60"/>
      <c r="O28" s="60"/>
      <c r="P28" s="60"/>
    </row>
    <row r="30" spans="1:16" x14ac:dyDescent="0.15">
      <c r="A30" s="55" t="s">
        <v>74</v>
      </c>
      <c r="B30" s="56"/>
      <c r="C30" s="58" t="s">
        <v>69</v>
      </c>
      <c r="D30" s="57" t="s">
        <v>75</v>
      </c>
      <c r="E30" s="58" t="s">
        <v>76</v>
      </c>
      <c r="F30" s="58" t="s">
        <v>77</v>
      </c>
      <c r="H30" s="58" t="s">
        <v>69</v>
      </c>
      <c r="I30" s="58" t="s">
        <v>75</v>
      </c>
      <c r="J30" s="58" t="s">
        <v>76</v>
      </c>
      <c r="K30" s="58" t="s">
        <v>77</v>
      </c>
      <c r="M30" s="58" t="s">
        <v>69</v>
      </c>
      <c r="N30" s="58" t="s">
        <v>75</v>
      </c>
      <c r="O30" s="58" t="s">
        <v>76</v>
      </c>
      <c r="P30" s="58" t="s">
        <v>77</v>
      </c>
    </row>
    <row r="31" spans="1:16" x14ac:dyDescent="0.15">
      <c r="A31" s="53" t="s">
        <v>53</v>
      </c>
      <c r="B31" s="51" t="s">
        <v>2</v>
      </c>
      <c r="C31" s="59">
        <v>23000</v>
      </c>
      <c r="D31" s="58">
        <f t="shared" ref="D31:D36" si="9">C31*0.3</f>
        <v>6900</v>
      </c>
      <c r="E31" s="58">
        <f t="shared" ref="E31:E36" si="10">C31*0.5</f>
        <v>11500</v>
      </c>
      <c r="F31" s="58">
        <f t="shared" ref="F31:F36" si="11">C31*0.8</f>
        <v>18400</v>
      </c>
      <c r="H31" s="60"/>
      <c r="I31" s="60"/>
      <c r="J31" s="60"/>
      <c r="K31" s="60"/>
      <c r="M31" s="60"/>
      <c r="N31" s="60"/>
      <c r="O31" s="60"/>
      <c r="P31" s="60"/>
    </row>
    <row r="32" spans="1:16" x14ac:dyDescent="0.15">
      <c r="A32" s="54"/>
      <c r="B32" s="51" t="s">
        <v>3</v>
      </c>
      <c r="C32" s="52">
        <v>23500</v>
      </c>
      <c r="D32" s="58">
        <f t="shared" si="9"/>
        <v>7050</v>
      </c>
      <c r="E32" s="58">
        <f t="shared" si="10"/>
        <v>11750</v>
      </c>
      <c r="F32" s="58">
        <f t="shared" si="11"/>
        <v>18800</v>
      </c>
      <c r="H32" s="58">
        <f>C32*0.5</f>
        <v>11750</v>
      </c>
      <c r="I32" s="58">
        <f>D32*0.5</f>
        <v>3525</v>
      </c>
      <c r="J32" s="58">
        <f>E32*0.5</f>
        <v>5875</v>
      </c>
      <c r="K32" s="58">
        <f>F32*0.5</f>
        <v>9400</v>
      </c>
      <c r="M32" s="58">
        <f>C32*0.75</f>
        <v>17625</v>
      </c>
      <c r="N32" s="58">
        <f>D32*0.75</f>
        <v>5287.5</v>
      </c>
      <c r="O32" s="58">
        <f>E32*0.75</f>
        <v>8812.5</v>
      </c>
      <c r="P32" s="58">
        <f>F32*0.75</f>
        <v>14100</v>
      </c>
    </row>
    <row r="33" spans="1:16" x14ac:dyDescent="0.15">
      <c r="A33" s="53" t="s">
        <v>70</v>
      </c>
      <c r="B33" s="51" t="s">
        <v>2</v>
      </c>
      <c r="C33" s="52">
        <v>8000</v>
      </c>
      <c r="D33" s="58">
        <f t="shared" si="9"/>
        <v>2400</v>
      </c>
      <c r="E33" s="58">
        <f t="shared" si="10"/>
        <v>4000</v>
      </c>
      <c r="F33" s="58">
        <f t="shared" si="11"/>
        <v>6400</v>
      </c>
      <c r="H33" s="60"/>
      <c r="I33" s="60"/>
      <c r="J33" s="60"/>
      <c r="K33" s="60"/>
      <c r="M33" s="60"/>
      <c r="N33" s="60"/>
      <c r="O33" s="60"/>
      <c r="P33" s="60"/>
    </row>
    <row r="34" spans="1:16" x14ac:dyDescent="0.15">
      <c r="A34" s="54"/>
      <c r="B34" s="51" t="s">
        <v>3</v>
      </c>
      <c r="C34" s="52">
        <v>3800</v>
      </c>
      <c r="D34" s="58">
        <f t="shared" si="9"/>
        <v>1140</v>
      </c>
      <c r="E34" s="58">
        <f t="shared" si="10"/>
        <v>1900</v>
      </c>
      <c r="F34" s="58">
        <f t="shared" si="11"/>
        <v>3040</v>
      </c>
      <c r="H34" s="58">
        <f>C34*0.5</f>
        <v>1900</v>
      </c>
      <c r="I34" s="58">
        <f>D34*0.5</f>
        <v>570</v>
      </c>
      <c r="J34" s="58">
        <f>E34*0.5</f>
        <v>950</v>
      </c>
      <c r="K34" s="58">
        <f>F34*0.5</f>
        <v>1520</v>
      </c>
      <c r="M34" s="58">
        <f>C34*0.75</f>
        <v>2850</v>
      </c>
      <c r="N34" s="58">
        <f>D34*0.75</f>
        <v>855</v>
      </c>
      <c r="O34" s="58">
        <f>E34*0.75</f>
        <v>1425</v>
      </c>
      <c r="P34" s="58">
        <f>F34*0.75</f>
        <v>2280</v>
      </c>
    </row>
    <row r="35" spans="1:16" x14ac:dyDescent="0.15">
      <c r="A35" s="53" t="s">
        <v>30</v>
      </c>
      <c r="B35" s="51" t="s">
        <v>2</v>
      </c>
      <c r="C35" s="52">
        <v>10000</v>
      </c>
      <c r="D35" s="58">
        <f t="shared" si="9"/>
        <v>3000</v>
      </c>
      <c r="E35" s="58">
        <f t="shared" si="10"/>
        <v>5000</v>
      </c>
      <c r="F35" s="58">
        <f t="shared" si="11"/>
        <v>8000</v>
      </c>
      <c r="H35" s="60"/>
      <c r="I35" s="60"/>
      <c r="J35" s="60"/>
      <c r="K35" s="60"/>
      <c r="M35" s="60"/>
      <c r="N35" s="60"/>
      <c r="O35" s="60"/>
      <c r="P35" s="60"/>
    </row>
    <row r="36" spans="1:16" x14ac:dyDescent="0.15">
      <c r="A36" s="54"/>
      <c r="B36" s="51" t="s">
        <v>3</v>
      </c>
      <c r="C36" s="52">
        <v>4000</v>
      </c>
      <c r="D36" s="58">
        <f t="shared" si="9"/>
        <v>1200</v>
      </c>
      <c r="E36" s="58">
        <f t="shared" si="10"/>
        <v>2000</v>
      </c>
      <c r="F36" s="58">
        <f t="shared" si="11"/>
        <v>3200</v>
      </c>
      <c r="H36" s="60"/>
      <c r="I36" s="60"/>
      <c r="J36" s="60"/>
      <c r="K36" s="60"/>
      <c r="M36" s="60"/>
      <c r="N36" s="60"/>
      <c r="O36" s="60"/>
      <c r="P36" s="60"/>
    </row>
    <row r="39" spans="1:16" x14ac:dyDescent="0.15">
      <c r="H39" s="50" t="s">
        <v>78</v>
      </c>
      <c r="M39" s="50" t="s">
        <v>79</v>
      </c>
    </row>
    <row r="40" spans="1:16" x14ac:dyDescent="0.15">
      <c r="A40" s="55" t="s">
        <v>81</v>
      </c>
      <c r="B40" s="56"/>
      <c r="C40" s="58" t="s">
        <v>69</v>
      </c>
      <c r="D40" s="57" t="s">
        <v>75</v>
      </c>
      <c r="E40" s="58" t="s">
        <v>76</v>
      </c>
      <c r="F40" s="58" t="s">
        <v>77</v>
      </c>
      <c r="H40" s="58" t="s">
        <v>69</v>
      </c>
      <c r="I40" s="58" t="s">
        <v>75</v>
      </c>
      <c r="J40" s="58" t="s">
        <v>76</v>
      </c>
      <c r="K40" s="58" t="s">
        <v>77</v>
      </c>
      <c r="M40" s="58" t="s">
        <v>69</v>
      </c>
      <c r="N40" s="58" t="s">
        <v>75</v>
      </c>
      <c r="O40" s="58" t="s">
        <v>76</v>
      </c>
      <c r="P40" s="58" t="s">
        <v>77</v>
      </c>
    </row>
    <row r="41" spans="1:16" x14ac:dyDescent="0.15">
      <c r="A41" s="53" t="s">
        <v>53</v>
      </c>
      <c r="B41" s="51" t="s">
        <v>2</v>
      </c>
      <c r="C41" s="59">
        <v>25000</v>
      </c>
      <c r="D41" s="58">
        <f t="shared" ref="D41:D46" si="12">C41*0.3</f>
        <v>7500</v>
      </c>
      <c r="E41" s="58">
        <f t="shared" ref="E41:E46" si="13">C41*0.5</f>
        <v>12500</v>
      </c>
      <c r="F41" s="58">
        <f t="shared" ref="F41:F46" si="14">C41*0.8</f>
        <v>20000</v>
      </c>
      <c r="H41" s="60"/>
      <c r="I41" s="60"/>
      <c r="J41" s="60"/>
      <c r="K41" s="60"/>
      <c r="M41" s="60"/>
      <c r="N41" s="60"/>
      <c r="O41" s="60"/>
      <c r="P41" s="60"/>
    </row>
    <row r="42" spans="1:16" x14ac:dyDescent="0.15">
      <c r="A42" s="54"/>
      <c r="B42" s="51" t="s">
        <v>3</v>
      </c>
      <c r="C42" s="52">
        <v>23500</v>
      </c>
      <c r="D42" s="58">
        <f t="shared" si="12"/>
        <v>7050</v>
      </c>
      <c r="E42" s="58">
        <f t="shared" si="13"/>
        <v>11750</v>
      </c>
      <c r="F42" s="58">
        <f t="shared" si="14"/>
        <v>18800</v>
      </c>
      <c r="H42" s="58">
        <f>C42*0.5</f>
        <v>11750</v>
      </c>
      <c r="I42" s="58">
        <f>D42*0.5</f>
        <v>3525</v>
      </c>
      <c r="J42" s="58">
        <f>E42*0.5</f>
        <v>5875</v>
      </c>
      <c r="K42" s="58">
        <f>F42*0.5</f>
        <v>9400</v>
      </c>
      <c r="M42" s="58">
        <f>C42*0.75</f>
        <v>17625</v>
      </c>
      <c r="N42" s="58">
        <f>D42*0.75</f>
        <v>5287.5</v>
      </c>
      <c r="O42" s="58">
        <f>E42*0.75</f>
        <v>8812.5</v>
      </c>
      <c r="P42" s="58">
        <f>F42*0.75</f>
        <v>14100</v>
      </c>
    </row>
    <row r="43" spans="1:16" x14ac:dyDescent="0.15">
      <c r="A43" s="53" t="s">
        <v>70</v>
      </c>
      <c r="B43" s="51" t="s">
        <v>2</v>
      </c>
      <c r="C43" s="52">
        <v>7400</v>
      </c>
      <c r="D43" s="58">
        <f t="shared" si="12"/>
        <v>2220</v>
      </c>
      <c r="E43" s="58">
        <f t="shared" si="13"/>
        <v>3700</v>
      </c>
      <c r="F43" s="58">
        <f t="shared" si="14"/>
        <v>5920</v>
      </c>
      <c r="H43" s="60"/>
      <c r="I43" s="60"/>
      <c r="J43" s="60"/>
      <c r="K43" s="60"/>
      <c r="M43" s="60"/>
      <c r="N43" s="60"/>
      <c r="O43" s="60"/>
      <c r="P43" s="60"/>
    </row>
    <row r="44" spans="1:16" x14ac:dyDescent="0.15">
      <c r="A44" s="54"/>
      <c r="B44" s="51" t="s">
        <v>3</v>
      </c>
      <c r="C44" s="52">
        <v>5800</v>
      </c>
      <c r="D44" s="58">
        <f t="shared" si="12"/>
        <v>1740</v>
      </c>
      <c r="E44" s="58">
        <f t="shared" si="13"/>
        <v>2900</v>
      </c>
      <c r="F44" s="58">
        <f t="shared" si="14"/>
        <v>4640</v>
      </c>
      <c r="H44" s="58">
        <f>C44*0.5</f>
        <v>2900</v>
      </c>
      <c r="I44" s="58">
        <f>D44*0.5</f>
        <v>870</v>
      </c>
      <c r="J44" s="58">
        <f>E44*0.5</f>
        <v>1450</v>
      </c>
      <c r="K44" s="58">
        <f>F44*0.5</f>
        <v>2320</v>
      </c>
      <c r="M44" s="58">
        <f>C44*0.75</f>
        <v>4350</v>
      </c>
      <c r="N44" s="58">
        <f>D44*0.75</f>
        <v>1305</v>
      </c>
      <c r="O44" s="58">
        <f>E44*0.75</f>
        <v>2175</v>
      </c>
      <c r="P44" s="58">
        <f>F44*0.75</f>
        <v>3480</v>
      </c>
    </row>
    <row r="45" spans="1:16" x14ac:dyDescent="0.15">
      <c r="A45" s="53" t="s">
        <v>30</v>
      </c>
      <c r="B45" s="51" t="s">
        <v>2</v>
      </c>
      <c r="C45" s="52">
        <v>9400</v>
      </c>
      <c r="D45" s="58">
        <f t="shared" si="12"/>
        <v>2820</v>
      </c>
      <c r="E45" s="58">
        <f t="shared" si="13"/>
        <v>4700</v>
      </c>
      <c r="F45" s="58">
        <f t="shared" si="14"/>
        <v>7520</v>
      </c>
      <c r="H45" s="60"/>
      <c r="I45" s="60"/>
      <c r="J45" s="60"/>
      <c r="K45" s="60"/>
      <c r="M45" s="60"/>
      <c r="N45" s="60"/>
      <c r="O45" s="60"/>
      <c r="P45" s="60"/>
    </row>
    <row r="46" spans="1:16" x14ac:dyDescent="0.15">
      <c r="A46" s="54"/>
      <c r="B46" s="51" t="s">
        <v>3</v>
      </c>
      <c r="C46" s="52">
        <v>6100</v>
      </c>
      <c r="D46" s="58">
        <f t="shared" si="12"/>
        <v>1830</v>
      </c>
      <c r="E46" s="58">
        <f t="shared" si="13"/>
        <v>3050</v>
      </c>
      <c r="F46" s="58">
        <f t="shared" si="14"/>
        <v>4880</v>
      </c>
      <c r="H46" s="60"/>
      <c r="I46" s="60"/>
      <c r="J46" s="60"/>
      <c r="K46" s="60"/>
      <c r="M46" s="60"/>
      <c r="N46" s="60"/>
      <c r="O46" s="60"/>
      <c r="P46" s="60"/>
    </row>
    <row r="48" spans="1:16" x14ac:dyDescent="0.15">
      <c r="A48" s="55" t="s">
        <v>82</v>
      </c>
      <c r="B48" s="56"/>
      <c r="C48" s="58" t="s">
        <v>69</v>
      </c>
      <c r="D48" s="57" t="s">
        <v>75</v>
      </c>
      <c r="E48" s="58" t="s">
        <v>76</v>
      </c>
      <c r="F48" s="58" t="s">
        <v>77</v>
      </c>
      <c r="H48" s="58" t="s">
        <v>69</v>
      </c>
      <c r="I48" s="58" t="s">
        <v>75</v>
      </c>
      <c r="J48" s="58" t="s">
        <v>76</v>
      </c>
      <c r="K48" s="58" t="s">
        <v>77</v>
      </c>
      <c r="M48" s="58" t="s">
        <v>69</v>
      </c>
      <c r="N48" s="58" t="s">
        <v>75</v>
      </c>
      <c r="O48" s="58" t="s">
        <v>76</v>
      </c>
      <c r="P48" s="58" t="s">
        <v>77</v>
      </c>
    </row>
    <row r="49" spans="1:16" x14ac:dyDescent="0.15">
      <c r="A49" s="53" t="s">
        <v>53</v>
      </c>
      <c r="B49" s="51" t="s">
        <v>2</v>
      </c>
      <c r="C49" s="59">
        <v>24000</v>
      </c>
      <c r="D49" s="58">
        <f t="shared" ref="D49:D54" si="15">C49*0.3</f>
        <v>7200</v>
      </c>
      <c r="E49" s="58">
        <f t="shared" ref="E49:E54" si="16">C49*0.5</f>
        <v>12000</v>
      </c>
      <c r="F49" s="58">
        <f t="shared" ref="F49:F54" si="17">C49*0.8</f>
        <v>19200</v>
      </c>
      <c r="H49" s="60"/>
      <c r="I49" s="60"/>
      <c r="J49" s="60"/>
      <c r="K49" s="60"/>
      <c r="M49" s="60"/>
      <c r="N49" s="60"/>
      <c r="O49" s="60"/>
      <c r="P49" s="60"/>
    </row>
    <row r="50" spans="1:16" x14ac:dyDescent="0.15">
      <c r="A50" s="54"/>
      <c r="B50" s="51" t="s">
        <v>3</v>
      </c>
      <c r="C50" s="52">
        <v>23500</v>
      </c>
      <c r="D50" s="58">
        <f t="shared" si="15"/>
        <v>7050</v>
      </c>
      <c r="E50" s="58">
        <f t="shared" si="16"/>
        <v>11750</v>
      </c>
      <c r="F50" s="58">
        <f t="shared" si="17"/>
        <v>18800</v>
      </c>
      <c r="H50" s="58">
        <f>C50*0.5</f>
        <v>11750</v>
      </c>
      <c r="I50" s="58">
        <f>D50*0.5</f>
        <v>3525</v>
      </c>
      <c r="J50" s="58">
        <f>E50*0.5</f>
        <v>5875</v>
      </c>
      <c r="K50" s="58">
        <f>F50*0.5</f>
        <v>9400</v>
      </c>
      <c r="M50" s="58">
        <f>C50*0.75</f>
        <v>17625</v>
      </c>
      <c r="N50" s="58">
        <f>D50*0.75</f>
        <v>5287.5</v>
      </c>
      <c r="O50" s="58">
        <f>E50*0.75</f>
        <v>8812.5</v>
      </c>
      <c r="P50" s="58">
        <f>F50*0.75</f>
        <v>14100</v>
      </c>
    </row>
    <row r="51" spans="1:16" x14ac:dyDescent="0.15">
      <c r="A51" s="53" t="s">
        <v>70</v>
      </c>
      <c r="B51" s="51" t="s">
        <v>2</v>
      </c>
      <c r="C51" s="52">
        <v>7400</v>
      </c>
      <c r="D51" s="58">
        <f t="shared" si="15"/>
        <v>2220</v>
      </c>
      <c r="E51" s="58">
        <f t="shared" si="16"/>
        <v>3700</v>
      </c>
      <c r="F51" s="58">
        <f t="shared" si="17"/>
        <v>5920</v>
      </c>
      <c r="H51" s="60"/>
      <c r="I51" s="60"/>
      <c r="J51" s="60"/>
      <c r="K51" s="60"/>
      <c r="M51" s="60"/>
      <c r="N51" s="60"/>
      <c r="O51" s="60"/>
      <c r="P51" s="60"/>
    </row>
    <row r="52" spans="1:16" x14ac:dyDescent="0.15">
      <c r="A52" s="54"/>
      <c r="B52" s="51" t="s">
        <v>3</v>
      </c>
      <c r="C52" s="52">
        <v>4800</v>
      </c>
      <c r="D52" s="58">
        <f t="shared" si="15"/>
        <v>1440</v>
      </c>
      <c r="E52" s="58">
        <f t="shared" si="16"/>
        <v>2400</v>
      </c>
      <c r="F52" s="58">
        <f t="shared" si="17"/>
        <v>3840</v>
      </c>
      <c r="H52" s="58">
        <f>C52*0.5</f>
        <v>2400</v>
      </c>
      <c r="I52" s="58">
        <f>D52*0.5</f>
        <v>720</v>
      </c>
      <c r="J52" s="58">
        <f>E52*0.5</f>
        <v>1200</v>
      </c>
      <c r="K52" s="58">
        <f>F52*0.5</f>
        <v>1920</v>
      </c>
      <c r="M52" s="58">
        <f>C52*0.75</f>
        <v>3600</v>
      </c>
      <c r="N52" s="58">
        <f>D52*0.75</f>
        <v>1080</v>
      </c>
      <c r="O52" s="58">
        <f>E52*0.75</f>
        <v>1800</v>
      </c>
      <c r="P52" s="58">
        <f>F52*0.75</f>
        <v>2880</v>
      </c>
    </row>
    <row r="53" spans="1:16" x14ac:dyDescent="0.15">
      <c r="A53" s="53" t="s">
        <v>30</v>
      </c>
      <c r="B53" s="51" t="s">
        <v>2</v>
      </c>
      <c r="C53" s="52">
        <v>9400</v>
      </c>
      <c r="D53" s="58">
        <f t="shared" si="15"/>
        <v>2820</v>
      </c>
      <c r="E53" s="58">
        <f t="shared" si="16"/>
        <v>4700</v>
      </c>
      <c r="F53" s="58">
        <f t="shared" si="17"/>
        <v>7520</v>
      </c>
      <c r="H53" s="60"/>
      <c r="I53" s="60"/>
      <c r="J53" s="60"/>
      <c r="K53" s="60"/>
      <c r="M53" s="60"/>
      <c r="N53" s="60"/>
      <c r="O53" s="60"/>
      <c r="P53" s="60"/>
    </row>
    <row r="54" spans="1:16" x14ac:dyDescent="0.15">
      <c r="A54" s="54"/>
      <c r="B54" s="51" t="s">
        <v>3</v>
      </c>
      <c r="C54" s="52">
        <v>5000</v>
      </c>
      <c r="D54" s="58">
        <f t="shared" si="15"/>
        <v>1500</v>
      </c>
      <c r="E54" s="58">
        <f t="shared" si="16"/>
        <v>2500</v>
      </c>
      <c r="F54" s="58">
        <f t="shared" si="17"/>
        <v>4000</v>
      </c>
      <c r="H54" s="60"/>
      <c r="I54" s="60"/>
      <c r="J54" s="60"/>
      <c r="K54" s="60"/>
      <c r="M54" s="60"/>
      <c r="N54" s="60"/>
      <c r="O54" s="60"/>
      <c r="P54" s="60"/>
    </row>
    <row r="57" spans="1:16" x14ac:dyDescent="0.15">
      <c r="H57" s="50" t="s">
        <v>78</v>
      </c>
      <c r="M57" s="50" t="s">
        <v>79</v>
      </c>
    </row>
    <row r="58" spans="1:16" x14ac:dyDescent="0.15">
      <c r="A58" s="55" t="s">
        <v>83</v>
      </c>
      <c r="B58" s="56"/>
      <c r="C58" s="58" t="s">
        <v>69</v>
      </c>
      <c r="D58" s="57" t="s">
        <v>75</v>
      </c>
      <c r="E58" s="58" t="s">
        <v>76</v>
      </c>
      <c r="F58" s="58" t="s">
        <v>77</v>
      </c>
      <c r="H58" s="58" t="s">
        <v>69</v>
      </c>
      <c r="I58" s="58" t="s">
        <v>75</v>
      </c>
      <c r="J58" s="58" t="s">
        <v>76</v>
      </c>
      <c r="K58" s="58" t="s">
        <v>77</v>
      </c>
      <c r="M58" s="58" t="s">
        <v>69</v>
      </c>
      <c r="N58" s="58" t="s">
        <v>75</v>
      </c>
      <c r="O58" s="58" t="s">
        <v>76</v>
      </c>
      <c r="P58" s="58" t="s">
        <v>77</v>
      </c>
    </row>
    <row r="59" spans="1:16" x14ac:dyDescent="0.15">
      <c r="A59" s="53" t="s">
        <v>53</v>
      </c>
      <c r="B59" s="51" t="s">
        <v>2</v>
      </c>
      <c r="C59" s="59">
        <v>25000</v>
      </c>
      <c r="D59" s="58">
        <f t="shared" ref="D59:D64" si="18">C59*0.3</f>
        <v>7500</v>
      </c>
      <c r="E59" s="58">
        <f t="shared" ref="E59:E64" si="19">C59*0.5</f>
        <v>12500</v>
      </c>
      <c r="F59" s="58">
        <f t="shared" ref="F59:F64" si="20">C59*0.8</f>
        <v>20000</v>
      </c>
      <c r="H59" s="60"/>
      <c r="I59" s="60"/>
      <c r="J59" s="60"/>
      <c r="K59" s="60"/>
      <c r="M59" s="60"/>
      <c r="N59" s="60"/>
      <c r="O59" s="60"/>
      <c r="P59" s="60"/>
    </row>
    <row r="60" spans="1:16" x14ac:dyDescent="0.15">
      <c r="A60" s="54"/>
      <c r="B60" s="51" t="s">
        <v>3</v>
      </c>
      <c r="C60" s="52">
        <v>23500</v>
      </c>
      <c r="D60" s="58">
        <f t="shared" si="18"/>
        <v>7050</v>
      </c>
      <c r="E60" s="58">
        <f t="shared" si="19"/>
        <v>11750</v>
      </c>
      <c r="F60" s="58">
        <f t="shared" si="20"/>
        <v>18800</v>
      </c>
      <c r="H60" s="58">
        <f>C60*0.5</f>
        <v>11750</v>
      </c>
      <c r="I60" s="58">
        <f>D60*0.5</f>
        <v>3525</v>
      </c>
      <c r="J60" s="58">
        <f>E60*0.5</f>
        <v>5875</v>
      </c>
      <c r="K60" s="58">
        <f>F60*0.5</f>
        <v>9400</v>
      </c>
      <c r="M60" s="58">
        <f>C60*0.75</f>
        <v>17625</v>
      </c>
      <c r="N60" s="58">
        <f>D60*0.75</f>
        <v>5287.5</v>
      </c>
      <c r="O60" s="58">
        <f>E60*0.75</f>
        <v>8812.5</v>
      </c>
      <c r="P60" s="58">
        <f>F60*0.75</f>
        <v>14100</v>
      </c>
    </row>
    <row r="61" spans="1:16" x14ac:dyDescent="0.15">
      <c r="A61" s="53" t="s">
        <v>70</v>
      </c>
      <c r="B61" s="51" t="s">
        <v>2</v>
      </c>
      <c r="C61" s="52">
        <v>7400</v>
      </c>
      <c r="D61" s="58">
        <f t="shared" si="18"/>
        <v>2220</v>
      </c>
      <c r="E61" s="58">
        <f t="shared" si="19"/>
        <v>3700</v>
      </c>
      <c r="F61" s="58">
        <f t="shared" si="20"/>
        <v>5920</v>
      </c>
      <c r="H61" s="60"/>
      <c r="I61" s="60"/>
      <c r="J61" s="60"/>
      <c r="K61" s="60"/>
      <c r="M61" s="60"/>
      <c r="N61" s="60"/>
      <c r="O61" s="60"/>
      <c r="P61" s="60"/>
    </row>
    <row r="62" spans="1:16" x14ac:dyDescent="0.15">
      <c r="A62" s="54"/>
      <c r="B62" s="51" t="s">
        <v>3</v>
      </c>
      <c r="C62" s="52">
        <v>5800</v>
      </c>
      <c r="D62" s="58">
        <f t="shared" si="18"/>
        <v>1740</v>
      </c>
      <c r="E62" s="58">
        <f t="shared" si="19"/>
        <v>2900</v>
      </c>
      <c r="F62" s="58">
        <f t="shared" si="20"/>
        <v>4640</v>
      </c>
      <c r="H62" s="58">
        <f>C62*0.5</f>
        <v>2900</v>
      </c>
      <c r="I62" s="58">
        <f>D62*0.5</f>
        <v>870</v>
      </c>
      <c r="J62" s="58">
        <f>E62*0.5</f>
        <v>1450</v>
      </c>
      <c r="K62" s="58">
        <f>F62*0.5</f>
        <v>2320</v>
      </c>
      <c r="M62" s="58">
        <f>C62*0.75</f>
        <v>4350</v>
      </c>
      <c r="N62" s="58">
        <f>D62*0.75</f>
        <v>1305</v>
      </c>
      <c r="O62" s="58">
        <f>E62*0.75</f>
        <v>2175</v>
      </c>
      <c r="P62" s="58">
        <f>F62*0.75</f>
        <v>3480</v>
      </c>
    </row>
    <row r="63" spans="1:16" x14ac:dyDescent="0.15">
      <c r="A63" s="53" t="s">
        <v>30</v>
      </c>
      <c r="B63" s="51" t="s">
        <v>2</v>
      </c>
      <c r="C63" s="52">
        <v>9400</v>
      </c>
      <c r="D63" s="58">
        <f t="shared" si="18"/>
        <v>2820</v>
      </c>
      <c r="E63" s="58">
        <f t="shared" si="19"/>
        <v>4700</v>
      </c>
      <c r="F63" s="58">
        <f t="shared" si="20"/>
        <v>7520</v>
      </c>
      <c r="H63" s="60"/>
      <c r="I63" s="60"/>
      <c r="J63" s="60"/>
      <c r="K63" s="60"/>
      <c r="M63" s="60"/>
      <c r="N63" s="60"/>
      <c r="O63" s="60"/>
      <c r="P63" s="60"/>
    </row>
    <row r="64" spans="1:16" x14ac:dyDescent="0.15">
      <c r="A64" s="54"/>
      <c r="B64" s="51" t="s">
        <v>3</v>
      </c>
      <c r="C64" s="52">
        <v>6100</v>
      </c>
      <c r="D64" s="58">
        <f t="shared" si="18"/>
        <v>1830</v>
      </c>
      <c r="E64" s="58">
        <f t="shared" si="19"/>
        <v>3050</v>
      </c>
      <c r="F64" s="58">
        <f t="shared" si="20"/>
        <v>4880</v>
      </c>
      <c r="H64" s="60"/>
      <c r="I64" s="60"/>
      <c r="J64" s="60"/>
      <c r="K64" s="60"/>
      <c r="M64" s="60"/>
      <c r="N64" s="60"/>
      <c r="O64" s="60"/>
      <c r="P64" s="60"/>
    </row>
    <row r="66" spans="1:16" x14ac:dyDescent="0.15">
      <c r="A66" s="55" t="s">
        <v>84</v>
      </c>
      <c r="B66" s="56"/>
      <c r="C66" s="58" t="s">
        <v>69</v>
      </c>
      <c r="D66" s="57" t="s">
        <v>75</v>
      </c>
      <c r="E66" s="58" t="s">
        <v>76</v>
      </c>
      <c r="F66" s="58" t="s">
        <v>77</v>
      </c>
      <c r="H66" s="58" t="s">
        <v>69</v>
      </c>
      <c r="I66" s="58" t="s">
        <v>75</v>
      </c>
      <c r="J66" s="58" t="s">
        <v>76</v>
      </c>
      <c r="K66" s="58" t="s">
        <v>77</v>
      </c>
      <c r="M66" s="58" t="s">
        <v>69</v>
      </c>
      <c r="N66" s="58" t="s">
        <v>75</v>
      </c>
      <c r="O66" s="58" t="s">
        <v>76</v>
      </c>
      <c r="P66" s="58" t="s">
        <v>77</v>
      </c>
    </row>
    <row r="67" spans="1:16" x14ac:dyDescent="0.15">
      <c r="A67" s="53" t="s">
        <v>53</v>
      </c>
      <c r="B67" s="51" t="s">
        <v>2</v>
      </c>
      <c r="C67" s="59">
        <v>25000</v>
      </c>
      <c r="D67" s="58">
        <f t="shared" ref="D67:D72" si="21">C67*0.3</f>
        <v>7500</v>
      </c>
      <c r="E67" s="58">
        <f t="shared" ref="E67:E72" si="22">C67*0.5</f>
        <v>12500</v>
      </c>
      <c r="F67" s="58">
        <f t="shared" ref="F67:F72" si="23">C67*0.8</f>
        <v>20000</v>
      </c>
      <c r="H67" s="60"/>
      <c r="I67" s="60"/>
      <c r="J67" s="60"/>
      <c r="K67" s="60"/>
      <c r="M67" s="60"/>
      <c r="N67" s="60"/>
      <c r="O67" s="60"/>
      <c r="P67" s="60"/>
    </row>
    <row r="68" spans="1:16" x14ac:dyDescent="0.15">
      <c r="A68" s="54"/>
      <c r="B68" s="51" t="s">
        <v>3</v>
      </c>
      <c r="C68" s="52">
        <v>23500</v>
      </c>
      <c r="D68" s="58">
        <f t="shared" si="21"/>
        <v>7050</v>
      </c>
      <c r="E68" s="58">
        <f t="shared" si="22"/>
        <v>11750</v>
      </c>
      <c r="F68" s="58">
        <f t="shared" si="23"/>
        <v>18800</v>
      </c>
      <c r="H68" s="58">
        <f>C68*0.5</f>
        <v>11750</v>
      </c>
      <c r="I68" s="58">
        <f>D68*0.5</f>
        <v>3525</v>
      </c>
      <c r="J68" s="58">
        <f>E68*0.5</f>
        <v>5875</v>
      </c>
      <c r="K68" s="58">
        <f>F68*0.5</f>
        <v>9400</v>
      </c>
      <c r="M68" s="58">
        <f>C68*0.75</f>
        <v>17625</v>
      </c>
      <c r="N68" s="58">
        <f>D68*0.75</f>
        <v>5287.5</v>
      </c>
      <c r="O68" s="58">
        <f>E68*0.75</f>
        <v>8812.5</v>
      </c>
      <c r="P68" s="58">
        <f>F68*0.75</f>
        <v>14100</v>
      </c>
    </row>
    <row r="69" spans="1:16" x14ac:dyDescent="0.15">
      <c r="A69" s="53" t="s">
        <v>70</v>
      </c>
      <c r="B69" s="51" t="s">
        <v>2</v>
      </c>
      <c r="C69" s="52">
        <v>7400</v>
      </c>
      <c r="D69" s="58">
        <f t="shared" si="21"/>
        <v>2220</v>
      </c>
      <c r="E69" s="58">
        <f t="shared" si="22"/>
        <v>3700</v>
      </c>
      <c r="F69" s="58">
        <f t="shared" si="23"/>
        <v>5920</v>
      </c>
      <c r="H69" s="60"/>
      <c r="I69" s="60"/>
      <c r="J69" s="60"/>
      <c r="K69" s="60"/>
      <c r="M69" s="60"/>
      <c r="N69" s="60"/>
      <c r="O69" s="60"/>
      <c r="P69" s="60"/>
    </row>
    <row r="70" spans="1:16" x14ac:dyDescent="0.15">
      <c r="A70" s="54"/>
      <c r="B70" s="51" t="s">
        <v>3</v>
      </c>
      <c r="C70" s="52">
        <v>5800</v>
      </c>
      <c r="D70" s="58">
        <f t="shared" si="21"/>
        <v>1740</v>
      </c>
      <c r="E70" s="58">
        <f t="shared" si="22"/>
        <v>2900</v>
      </c>
      <c r="F70" s="58">
        <f t="shared" si="23"/>
        <v>4640</v>
      </c>
      <c r="H70" s="58">
        <f>C70*0.5</f>
        <v>2900</v>
      </c>
      <c r="I70" s="58">
        <f>D70*0.5</f>
        <v>870</v>
      </c>
      <c r="J70" s="58">
        <f>E70*0.5</f>
        <v>1450</v>
      </c>
      <c r="K70" s="58">
        <f>F70*0.5</f>
        <v>2320</v>
      </c>
      <c r="M70" s="58">
        <f>C70*0.75</f>
        <v>4350</v>
      </c>
      <c r="N70" s="58">
        <f>D70*0.75</f>
        <v>1305</v>
      </c>
      <c r="O70" s="58">
        <f>E70*0.75</f>
        <v>2175</v>
      </c>
      <c r="P70" s="58">
        <f>F70*0.75</f>
        <v>3480</v>
      </c>
    </row>
    <row r="71" spans="1:16" x14ac:dyDescent="0.15">
      <c r="A71" s="53" t="s">
        <v>30</v>
      </c>
      <c r="B71" s="51" t="s">
        <v>2</v>
      </c>
      <c r="C71" s="52">
        <v>9400</v>
      </c>
      <c r="D71" s="58">
        <f t="shared" si="21"/>
        <v>2820</v>
      </c>
      <c r="E71" s="58">
        <f t="shared" si="22"/>
        <v>4700</v>
      </c>
      <c r="F71" s="58">
        <f t="shared" si="23"/>
        <v>7520</v>
      </c>
      <c r="H71" s="60"/>
      <c r="I71" s="60"/>
      <c r="J71" s="60"/>
      <c r="K71" s="60"/>
      <c r="M71" s="60"/>
      <c r="N71" s="60"/>
      <c r="O71" s="60"/>
      <c r="P71" s="60"/>
    </row>
    <row r="72" spans="1:16" x14ac:dyDescent="0.15">
      <c r="A72" s="54"/>
      <c r="B72" s="51" t="s">
        <v>3</v>
      </c>
      <c r="C72" s="52">
        <v>6100</v>
      </c>
      <c r="D72" s="58">
        <f t="shared" si="21"/>
        <v>1830</v>
      </c>
      <c r="E72" s="58">
        <f t="shared" si="22"/>
        <v>3050</v>
      </c>
      <c r="F72" s="58">
        <f t="shared" si="23"/>
        <v>4880</v>
      </c>
      <c r="H72" s="60"/>
      <c r="I72" s="60"/>
      <c r="J72" s="60"/>
      <c r="K72" s="60"/>
      <c r="M72" s="60"/>
      <c r="N72" s="60"/>
      <c r="O72" s="60"/>
      <c r="P72" s="60"/>
    </row>
    <row r="75" spans="1:16" x14ac:dyDescent="0.15">
      <c r="H75" s="50" t="s">
        <v>78</v>
      </c>
      <c r="M75" s="50" t="s">
        <v>79</v>
      </c>
    </row>
    <row r="76" spans="1:16" x14ac:dyDescent="0.15">
      <c r="A76" s="55" t="s">
        <v>83</v>
      </c>
      <c r="B76" s="56"/>
      <c r="C76" s="58" t="s">
        <v>69</v>
      </c>
      <c r="D76" s="57" t="s">
        <v>75</v>
      </c>
      <c r="E76" s="58" t="s">
        <v>76</v>
      </c>
      <c r="F76" s="58" t="s">
        <v>77</v>
      </c>
      <c r="H76" s="58" t="s">
        <v>69</v>
      </c>
      <c r="I76" s="58" t="s">
        <v>75</v>
      </c>
      <c r="J76" s="58" t="s">
        <v>76</v>
      </c>
      <c r="K76" s="58" t="s">
        <v>77</v>
      </c>
      <c r="M76" s="58" t="s">
        <v>69</v>
      </c>
      <c r="N76" s="58" t="s">
        <v>75</v>
      </c>
      <c r="O76" s="58" t="s">
        <v>76</v>
      </c>
      <c r="P76" s="58" t="s">
        <v>77</v>
      </c>
    </row>
    <row r="77" spans="1:16" x14ac:dyDescent="0.15">
      <c r="A77" s="53" t="s">
        <v>53</v>
      </c>
      <c r="B77" s="51" t="s">
        <v>2</v>
      </c>
      <c r="C77" s="59">
        <v>25000</v>
      </c>
      <c r="D77" s="58">
        <f t="shared" ref="D77:D82" si="24">C77*0.3</f>
        <v>7500</v>
      </c>
      <c r="E77" s="58">
        <f t="shared" ref="E77:E82" si="25">C77*0.5</f>
        <v>12500</v>
      </c>
      <c r="F77" s="58">
        <f t="shared" ref="F77:F82" si="26">C77*0.8</f>
        <v>20000</v>
      </c>
      <c r="H77" s="60"/>
      <c r="I77" s="60"/>
      <c r="J77" s="60"/>
      <c r="K77" s="60"/>
      <c r="M77" s="60"/>
      <c r="N77" s="60"/>
      <c r="O77" s="60"/>
      <c r="P77" s="60"/>
    </row>
    <row r="78" spans="1:16" x14ac:dyDescent="0.15">
      <c r="A78" s="54"/>
      <c r="B78" s="51" t="s">
        <v>3</v>
      </c>
      <c r="C78" s="52">
        <v>23500</v>
      </c>
      <c r="D78" s="58">
        <f t="shared" si="24"/>
        <v>7050</v>
      </c>
      <c r="E78" s="58">
        <f t="shared" si="25"/>
        <v>11750</v>
      </c>
      <c r="F78" s="58">
        <f t="shared" si="26"/>
        <v>18800</v>
      </c>
      <c r="H78" s="58">
        <f>C78*0.5</f>
        <v>11750</v>
      </c>
      <c r="I78" s="58">
        <f>D78*0.5</f>
        <v>3525</v>
      </c>
      <c r="J78" s="58">
        <f>E78*0.5</f>
        <v>5875</v>
      </c>
      <c r="K78" s="58">
        <f>F78*0.5</f>
        <v>9400</v>
      </c>
      <c r="M78" s="58">
        <f>C78*0.75</f>
        <v>17625</v>
      </c>
      <c r="N78" s="58">
        <f>D78*0.75</f>
        <v>5287.5</v>
      </c>
      <c r="O78" s="58">
        <f>E78*0.75</f>
        <v>8812.5</v>
      </c>
      <c r="P78" s="58">
        <f>F78*0.75</f>
        <v>14100</v>
      </c>
    </row>
    <row r="79" spans="1:16" x14ac:dyDescent="0.15">
      <c r="A79" s="53" t="s">
        <v>70</v>
      </c>
      <c r="B79" s="51" t="s">
        <v>2</v>
      </c>
      <c r="C79" s="52">
        <v>7400</v>
      </c>
      <c r="D79" s="58">
        <f t="shared" si="24"/>
        <v>2220</v>
      </c>
      <c r="E79" s="58">
        <f t="shared" si="25"/>
        <v>3700</v>
      </c>
      <c r="F79" s="58">
        <f t="shared" si="26"/>
        <v>5920</v>
      </c>
      <c r="H79" s="60"/>
      <c r="I79" s="60"/>
      <c r="J79" s="60"/>
      <c r="K79" s="60"/>
      <c r="M79" s="60"/>
      <c r="N79" s="60"/>
      <c r="O79" s="60"/>
      <c r="P79" s="60"/>
    </row>
    <row r="80" spans="1:16" x14ac:dyDescent="0.15">
      <c r="A80" s="54"/>
      <c r="B80" s="51" t="s">
        <v>3</v>
      </c>
      <c r="C80" s="52">
        <v>5800</v>
      </c>
      <c r="D80" s="58">
        <f t="shared" si="24"/>
        <v>1740</v>
      </c>
      <c r="E80" s="58">
        <f t="shared" si="25"/>
        <v>2900</v>
      </c>
      <c r="F80" s="58">
        <f t="shared" si="26"/>
        <v>4640</v>
      </c>
      <c r="H80" s="58">
        <f>C80*0.5</f>
        <v>2900</v>
      </c>
      <c r="I80" s="58">
        <f>D80*0.5</f>
        <v>870</v>
      </c>
      <c r="J80" s="58">
        <f>E80*0.5</f>
        <v>1450</v>
      </c>
      <c r="K80" s="58">
        <f>F80*0.5</f>
        <v>2320</v>
      </c>
      <c r="M80" s="58">
        <f>C80*0.75</f>
        <v>4350</v>
      </c>
      <c r="N80" s="58">
        <f>D80*0.75</f>
        <v>1305</v>
      </c>
      <c r="O80" s="58">
        <f>E80*0.75</f>
        <v>2175</v>
      </c>
      <c r="P80" s="58">
        <f>F80*0.75</f>
        <v>3480</v>
      </c>
    </row>
    <row r="81" spans="1:16" x14ac:dyDescent="0.15">
      <c r="A81" s="53" t="s">
        <v>30</v>
      </c>
      <c r="B81" s="51" t="s">
        <v>2</v>
      </c>
      <c r="C81" s="52">
        <v>9400</v>
      </c>
      <c r="D81" s="58">
        <f t="shared" si="24"/>
        <v>2820</v>
      </c>
      <c r="E81" s="58">
        <f t="shared" si="25"/>
        <v>4700</v>
      </c>
      <c r="F81" s="58">
        <f t="shared" si="26"/>
        <v>7520</v>
      </c>
      <c r="H81" s="60"/>
      <c r="I81" s="60"/>
      <c r="J81" s="60"/>
      <c r="K81" s="60"/>
      <c r="M81" s="60"/>
      <c r="N81" s="60"/>
      <c r="O81" s="60"/>
      <c r="P81" s="60"/>
    </row>
    <row r="82" spans="1:16" x14ac:dyDescent="0.15">
      <c r="A82" s="54"/>
      <c r="B82" s="51" t="s">
        <v>3</v>
      </c>
      <c r="C82" s="52">
        <v>6100</v>
      </c>
      <c r="D82" s="58">
        <f t="shared" si="24"/>
        <v>1830</v>
      </c>
      <c r="E82" s="58">
        <f t="shared" si="25"/>
        <v>3050</v>
      </c>
      <c r="F82" s="58">
        <f t="shared" si="26"/>
        <v>4880</v>
      </c>
      <c r="H82" s="60"/>
      <c r="I82" s="60"/>
      <c r="J82" s="60"/>
      <c r="K82" s="60"/>
      <c r="M82" s="60"/>
      <c r="N82" s="60"/>
      <c r="O82" s="60"/>
      <c r="P82" s="60"/>
    </row>
    <row r="84" spans="1:16" x14ac:dyDescent="0.15">
      <c r="A84" s="55" t="s">
        <v>84</v>
      </c>
      <c r="B84" s="56"/>
      <c r="C84" s="58" t="s">
        <v>69</v>
      </c>
      <c r="D84" s="57" t="s">
        <v>75</v>
      </c>
      <c r="E84" s="58" t="s">
        <v>76</v>
      </c>
      <c r="F84" s="58" t="s">
        <v>77</v>
      </c>
      <c r="H84" s="58" t="s">
        <v>69</v>
      </c>
      <c r="I84" s="58" t="s">
        <v>75</v>
      </c>
      <c r="J84" s="58" t="s">
        <v>76</v>
      </c>
      <c r="K84" s="58" t="s">
        <v>77</v>
      </c>
      <c r="M84" s="58" t="s">
        <v>69</v>
      </c>
      <c r="N84" s="58" t="s">
        <v>75</v>
      </c>
      <c r="O84" s="58" t="s">
        <v>76</v>
      </c>
      <c r="P84" s="58" t="s">
        <v>77</v>
      </c>
    </row>
    <row r="85" spans="1:16" x14ac:dyDescent="0.15">
      <c r="A85" s="53" t="s">
        <v>53</v>
      </c>
      <c r="B85" s="51" t="s">
        <v>2</v>
      </c>
      <c r="C85" s="59">
        <v>25000</v>
      </c>
      <c r="D85" s="58">
        <f t="shared" ref="D85:D90" si="27">C85*0.3</f>
        <v>7500</v>
      </c>
      <c r="E85" s="58">
        <f t="shared" ref="E85:E90" si="28">C85*0.5</f>
        <v>12500</v>
      </c>
      <c r="F85" s="58">
        <f t="shared" ref="F85:F90" si="29">C85*0.8</f>
        <v>20000</v>
      </c>
      <c r="H85" s="60"/>
      <c r="I85" s="60"/>
      <c r="J85" s="60"/>
      <c r="K85" s="60"/>
      <c r="M85" s="60"/>
      <c r="N85" s="60"/>
      <c r="O85" s="60"/>
      <c r="P85" s="60"/>
    </row>
    <row r="86" spans="1:16" x14ac:dyDescent="0.15">
      <c r="A86" s="54"/>
      <c r="B86" s="51" t="s">
        <v>3</v>
      </c>
      <c r="C86" s="52">
        <v>23500</v>
      </c>
      <c r="D86" s="58">
        <f t="shared" si="27"/>
        <v>7050</v>
      </c>
      <c r="E86" s="58">
        <f t="shared" si="28"/>
        <v>11750</v>
      </c>
      <c r="F86" s="58">
        <f t="shared" si="29"/>
        <v>18800</v>
      </c>
      <c r="H86" s="58">
        <f>C86*0.5</f>
        <v>11750</v>
      </c>
      <c r="I86" s="58">
        <f>D86*0.5</f>
        <v>3525</v>
      </c>
      <c r="J86" s="58">
        <f>E86*0.5</f>
        <v>5875</v>
      </c>
      <c r="K86" s="58">
        <f>F86*0.5</f>
        <v>9400</v>
      </c>
      <c r="M86" s="58">
        <f>C86*0.75</f>
        <v>17625</v>
      </c>
      <c r="N86" s="58">
        <f>D86*0.75</f>
        <v>5287.5</v>
      </c>
      <c r="O86" s="58">
        <f>E86*0.75</f>
        <v>8812.5</v>
      </c>
      <c r="P86" s="58">
        <f>F86*0.75</f>
        <v>14100</v>
      </c>
    </row>
    <row r="87" spans="1:16" x14ac:dyDescent="0.15">
      <c r="A87" s="53" t="s">
        <v>70</v>
      </c>
      <c r="B87" s="51" t="s">
        <v>2</v>
      </c>
      <c r="C87" s="52">
        <v>7400</v>
      </c>
      <c r="D87" s="58">
        <f t="shared" si="27"/>
        <v>2220</v>
      </c>
      <c r="E87" s="58">
        <f t="shared" si="28"/>
        <v>3700</v>
      </c>
      <c r="F87" s="58">
        <f t="shared" si="29"/>
        <v>5920</v>
      </c>
      <c r="H87" s="60"/>
      <c r="I87" s="60"/>
      <c r="J87" s="60"/>
      <c r="K87" s="60"/>
      <c r="M87" s="60"/>
      <c r="N87" s="60"/>
      <c r="O87" s="60"/>
      <c r="P87" s="60"/>
    </row>
    <row r="88" spans="1:16" x14ac:dyDescent="0.15">
      <c r="A88" s="54"/>
      <c r="B88" s="51" t="s">
        <v>3</v>
      </c>
      <c r="C88" s="52">
        <v>5800</v>
      </c>
      <c r="D88" s="58">
        <f t="shared" si="27"/>
        <v>1740</v>
      </c>
      <c r="E88" s="58">
        <f t="shared" si="28"/>
        <v>2900</v>
      </c>
      <c r="F88" s="58">
        <f t="shared" si="29"/>
        <v>4640</v>
      </c>
      <c r="H88" s="58">
        <f>C88*0.5</f>
        <v>2900</v>
      </c>
      <c r="I88" s="58">
        <f>D88*0.5</f>
        <v>870</v>
      </c>
      <c r="J88" s="58">
        <f>E88*0.5</f>
        <v>1450</v>
      </c>
      <c r="K88" s="58">
        <f>F88*0.5</f>
        <v>2320</v>
      </c>
      <c r="M88" s="58">
        <f>C88*0.75</f>
        <v>4350</v>
      </c>
      <c r="N88" s="58">
        <f>D88*0.75</f>
        <v>1305</v>
      </c>
      <c r="O88" s="58">
        <f>E88*0.75</f>
        <v>2175</v>
      </c>
      <c r="P88" s="58">
        <f>F88*0.75</f>
        <v>3480</v>
      </c>
    </row>
    <row r="89" spans="1:16" x14ac:dyDescent="0.15">
      <c r="A89" s="53" t="s">
        <v>30</v>
      </c>
      <c r="B89" s="51" t="s">
        <v>2</v>
      </c>
      <c r="C89" s="52">
        <v>9400</v>
      </c>
      <c r="D89" s="58">
        <f t="shared" si="27"/>
        <v>2820</v>
      </c>
      <c r="E89" s="58">
        <f t="shared" si="28"/>
        <v>4700</v>
      </c>
      <c r="F89" s="58">
        <f t="shared" si="29"/>
        <v>7520</v>
      </c>
      <c r="H89" s="60"/>
      <c r="I89" s="60"/>
      <c r="J89" s="60"/>
      <c r="K89" s="60"/>
      <c r="M89" s="60"/>
      <c r="N89" s="60"/>
      <c r="O89" s="60"/>
      <c r="P89" s="60"/>
    </row>
    <row r="90" spans="1:16" x14ac:dyDescent="0.15">
      <c r="A90" s="54"/>
      <c r="B90" s="51" t="s">
        <v>3</v>
      </c>
      <c r="C90" s="52">
        <v>6100</v>
      </c>
      <c r="D90" s="58">
        <f t="shared" si="27"/>
        <v>1830</v>
      </c>
      <c r="E90" s="58">
        <f t="shared" si="28"/>
        <v>3050</v>
      </c>
      <c r="F90" s="58">
        <f t="shared" si="29"/>
        <v>4880</v>
      </c>
      <c r="H90" s="60"/>
      <c r="I90" s="60"/>
      <c r="J90" s="60"/>
      <c r="K90" s="60"/>
      <c r="M90" s="60"/>
      <c r="N90" s="60"/>
      <c r="O90" s="60"/>
      <c r="P90" s="60"/>
    </row>
    <row r="93" spans="1:16" x14ac:dyDescent="0.15">
      <c r="H93" s="50" t="s">
        <v>78</v>
      </c>
      <c r="M93" s="50" t="s">
        <v>79</v>
      </c>
    </row>
    <row r="94" spans="1:16" x14ac:dyDescent="0.15">
      <c r="A94" s="55" t="s">
        <v>83</v>
      </c>
      <c r="B94" s="56"/>
      <c r="C94" s="58" t="s">
        <v>69</v>
      </c>
      <c r="D94" s="57" t="s">
        <v>75</v>
      </c>
      <c r="E94" s="58" t="s">
        <v>76</v>
      </c>
      <c r="F94" s="58" t="s">
        <v>77</v>
      </c>
      <c r="H94" s="58" t="s">
        <v>69</v>
      </c>
      <c r="I94" s="58" t="s">
        <v>75</v>
      </c>
      <c r="J94" s="58" t="s">
        <v>76</v>
      </c>
      <c r="K94" s="58" t="s">
        <v>77</v>
      </c>
      <c r="M94" s="58" t="s">
        <v>69</v>
      </c>
      <c r="N94" s="58" t="s">
        <v>75</v>
      </c>
      <c r="O94" s="58" t="s">
        <v>76</v>
      </c>
      <c r="P94" s="58" t="s">
        <v>77</v>
      </c>
    </row>
    <row r="95" spans="1:16" x14ac:dyDescent="0.15">
      <c r="A95" s="53" t="s">
        <v>53</v>
      </c>
      <c r="B95" s="51" t="s">
        <v>2</v>
      </c>
      <c r="C95" s="59">
        <v>25000</v>
      </c>
      <c r="D95" s="58">
        <f t="shared" ref="D95:D100" si="30">C95*0.3</f>
        <v>7500</v>
      </c>
      <c r="E95" s="58">
        <f t="shared" ref="E95:E100" si="31">C95*0.5</f>
        <v>12500</v>
      </c>
      <c r="F95" s="58">
        <f t="shared" ref="F95:F100" si="32">C95*0.8</f>
        <v>20000</v>
      </c>
      <c r="H95" s="60"/>
      <c r="I95" s="60"/>
      <c r="J95" s="60"/>
      <c r="K95" s="60"/>
      <c r="M95" s="60"/>
      <c r="N95" s="60"/>
      <c r="O95" s="60"/>
      <c r="P95" s="60"/>
    </row>
    <row r="96" spans="1:16" x14ac:dyDescent="0.15">
      <c r="A96" s="54"/>
      <c r="B96" s="51" t="s">
        <v>3</v>
      </c>
      <c r="C96" s="52">
        <v>23500</v>
      </c>
      <c r="D96" s="58">
        <f t="shared" si="30"/>
        <v>7050</v>
      </c>
      <c r="E96" s="58">
        <f t="shared" si="31"/>
        <v>11750</v>
      </c>
      <c r="F96" s="58">
        <f t="shared" si="32"/>
        <v>18800</v>
      </c>
      <c r="H96" s="58">
        <f>C96*0.5</f>
        <v>11750</v>
      </c>
      <c r="I96" s="58">
        <f>D96*0.5</f>
        <v>3525</v>
      </c>
      <c r="J96" s="58">
        <f>E96*0.5</f>
        <v>5875</v>
      </c>
      <c r="K96" s="58">
        <f>F96*0.5</f>
        <v>9400</v>
      </c>
      <c r="M96" s="58">
        <f>C96*0.75</f>
        <v>17625</v>
      </c>
      <c r="N96" s="58">
        <f>D96*0.75</f>
        <v>5287.5</v>
      </c>
      <c r="O96" s="58">
        <f>E96*0.75</f>
        <v>8812.5</v>
      </c>
      <c r="P96" s="58">
        <f>F96*0.75</f>
        <v>14100</v>
      </c>
    </row>
    <row r="97" spans="1:16" x14ac:dyDescent="0.15">
      <c r="A97" s="53" t="s">
        <v>70</v>
      </c>
      <c r="B97" s="51" t="s">
        <v>2</v>
      </c>
      <c r="C97" s="52">
        <v>7400</v>
      </c>
      <c r="D97" s="58">
        <f t="shared" si="30"/>
        <v>2220</v>
      </c>
      <c r="E97" s="58">
        <f t="shared" si="31"/>
        <v>3700</v>
      </c>
      <c r="F97" s="58">
        <f t="shared" si="32"/>
        <v>5920</v>
      </c>
      <c r="H97" s="60"/>
      <c r="I97" s="60"/>
      <c r="J97" s="60"/>
      <c r="K97" s="60"/>
      <c r="M97" s="60"/>
      <c r="N97" s="60"/>
      <c r="O97" s="60"/>
      <c r="P97" s="60"/>
    </row>
    <row r="98" spans="1:16" x14ac:dyDescent="0.15">
      <c r="A98" s="54"/>
      <c r="B98" s="51" t="s">
        <v>3</v>
      </c>
      <c r="C98" s="52">
        <v>5800</v>
      </c>
      <c r="D98" s="58">
        <f t="shared" si="30"/>
        <v>1740</v>
      </c>
      <c r="E98" s="58">
        <f t="shared" si="31"/>
        <v>2900</v>
      </c>
      <c r="F98" s="58">
        <f t="shared" si="32"/>
        <v>4640</v>
      </c>
      <c r="H98" s="58">
        <f>C98*0.5</f>
        <v>2900</v>
      </c>
      <c r="I98" s="58">
        <f>D98*0.5</f>
        <v>870</v>
      </c>
      <c r="J98" s="58">
        <f>E98*0.5</f>
        <v>1450</v>
      </c>
      <c r="K98" s="58">
        <f>F98*0.5</f>
        <v>2320</v>
      </c>
      <c r="M98" s="58">
        <f>C98*0.75</f>
        <v>4350</v>
      </c>
      <c r="N98" s="58">
        <f>D98*0.75</f>
        <v>1305</v>
      </c>
      <c r="O98" s="58">
        <f>E98*0.75</f>
        <v>2175</v>
      </c>
      <c r="P98" s="58">
        <f>F98*0.75</f>
        <v>3480</v>
      </c>
    </row>
    <row r="99" spans="1:16" x14ac:dyDescent="0.15">
      <c r="A99" s="53" t="s">
        <v>30</v>
      </c>
      <c r="B99" s="51" t="s">
        <v>2</v>
      </c>
      <c r="C99" s="52">
        <v>9400</v>
      </c>
      <c r="D99" s="58">
        <f t="shared" si="30"/>
        <v>2820</v>
      </c>
      <c r="E99" s="58">
        <f t="shared" si="31"/>
        <v>4700</v>
      </c>
      <c r="F99" s="58">
        <f t="shared" si="32"/>
        <v>7520</v>
      </c>
      <c r="H99" s="60"/>
      <c r="I99" s="60"/>
      <c r="J99" s="60"/>
      <c r="K99" s="60"/>
      <c r="M99" s="60"/>
      <c r="N99" s="60"/>
      <c r="O99" s="60"/>
      <c r="P99" s="60"/>
    </row>
    <row r="100" spans="1:16" x14ac:dyDescent="0.15">
      <c r="A100" s="54"/>
      <c r="B100" s="51" t="s">
        <v>3</v>
      </c>
      <c r="C100" s="52">
        <v>6100</v>
      </c>
      <c r="D100" s="58">
        <f t="shared" si="30"/>
        <v>1830</v>
      </c>
      <c r="E100" s="58">
        <f t="shared" si="31"/>
        <v>3050</v>
      </c>
      <c r="F100" s="58">
        <f t="shared" si="32"/>
        <v>4880</v>
      </c>
      <c r="H100" s="60"/>
      <c r="I100" s="60"/>
      <c r="J100" s="60"/>
      <c r="K100" s="60"/>
      <c r="M100" s="60"/>
      <c r="N100" s="60"/>
      <c r="O100" s="60"/>
      <c r="P100" s="60"/>
    </row>
    <row r="102" spans="1:16" x14ac:dyDescent="0.15">
      <c r="A102" s="55" t="s">
        <v>84</v>
      </c>
      <c r="B102" s="56"/>
      <c r="C102" s="58" t="s">
        <v>69</v>
      </c>
      <c r="D102" s="57" t="s">
        <v>75</v>
      </c>
      <c r="E102" s="58" t="s">
        <v>76</v>
      </c>
      <c r="F102" s="58" t="s">
        <v>77</v>
      </c>
      <c r="H102" s="58" t="s">
        <v>69</v>
      </c>
      <c r="I102" s="58" t="s">
        <v>75</v>
      </c>
      <c r="J102" s="58" t="s">
        <v>76</v>
      </c>
      <c r="K102" s="58" t="s">
        <v>77</v>
      </c>
      <c r="M102" s="58" t="s">
        <v>69</v>
      </c>
      <c r="N102" s="58" t="s">
        <v>75</v>
      </c>
      <c r="O102" s="58" t="s">
        <v>76</v>
      </c>
      <c r="P102" s="58" t="s">
        <v>77</v>
      </c>
    </row>
    <row r="103" spans="1:16" x14ac:dyDescent="0.15">
      <c r="A103" s="53" t="s">
        <v>53</v>
      </c>
      <c r="B103" s="51" t="s">
        <v>2</v>
      </c>
      <c r="C103" s="59">
        <v>25000</v>
      </c>
      <c r="D103" s="58">
        <f t="shared" ref="D103:D108" si="33">C103*0.3</f>
        <v>7500</v>
      </c>
      <c r="E103" s="58">
        <f t="shared" ref="E103:E108" si="34">C103*0.5</f>
        <v>12500</v>
      </c>
      <c r="F103" s="58">
        <f t="shared" ref="F103:F108" si="35">C103*0.8</f>
        <v>20000</v>
      </c>
      <c r="H103" s="60"/>
      <c r="I103" s="60"/>
      <c r="J103" s="60"/>
      <c r="K103" s="60"/>
      <c r="M103" s="60"/>
      <c r="N103" s="60"/>
      <c r="O103" s="60"/>
      <c r="P103" s="60"/>
    </row>
    <row r="104" spans="1:16" x14ac:dyDescent="0.15">
      <c r="A104" s="54"/>
      <c r="B104" s="51" t="s">
        <v>3</v>
      </c>
      <c r="C104" s="52">
        <v>23500</v>
      </c>
      <c r="D104" s="58">
        <f t="shared" si="33"/>
        <v>7050</v>
      </c>
      <c r="E104" s="58">
        <f t="shared" si="34"/>
        <v>11750</v>
      </c>
      <c r="F104" s="58">
        <f t="shared" si="35"/>
        <v>18800</v>
      </c>
      <c r="H104" s="58">
        <f>C104*0.5</f>
        <v>11750</v>
      </c>
      <c r="I104" s="58">
        <f>D104*0.5</f>
        <v>3525</v>
      </c>
      <c r="J104" s="58">
        <f>E104*0.5</f>
        <v>5875</v>
      </c>
      <c r="K104" s="58">
        <f>F104*0.5</f>
        <v>9400</v>
      </c>
      <c r="M104" s="58">
        <f>C104*0.75</f>
        <v>17625</v>
      </c>
      <c r="N104" s="58">
        <f>D104*0.75</f>
        <v>5287.5</v>
      </c>
      <c r="O104" s="58">
        <f>E104*0.75</f>
        <v>8812.5</v>
      </c>
      <c r="P104" s="58">
        <f>F104*0.75</f>
        <v>14100</v>
      </c>
    </row>
    <row r="105" spans="1:16" x14ac:dyDescent="0.15">
      <c r="A105" s="53" t="s">
        <v>70</v>
      </c>
      <c r="B105" s="51" t="s">
        <v>2</v>
      </c>
      <c r="C105" s="52">
        <v>7400</v>
      </c>
      <c r="D105" s="58">
        <f t="shared" si="33"/>
        <v>2220</v>
      </c>
      <c r="E105" s="58">
        <f t="shared" si="34"/>
        <v>3700</v>
      </c>
      <c r="F105" s="58">
        <f t="shared" si="35"/>
        <v>5920</v>
      </c>
      <c r="H105" s="60"/>
      <c r="I105" s="60"/>
      <c r="J105" s="60"/>
      <c r="K105" s="60"/>
      <c r="M105" s="60"/>
      <c r="N105" s="60"/>
      <c r="O105" s="60"/>
      <c r="P105" s="60"/>
    </row>
    <row r="106" spans="1:16" x14ac:dyDescent="0.15">
      <c r="A106" s="54"/>
      <c r="B106" s="51" t="s">
        <v>3</v>
      </c>
      <c r="C106" s="52">
        <v>5800</v>
      </c>
      <c r="D106" s="58">
        <f t="shared" si="33"/>
        <v>1740</v>
      </c>
      <c r="E106" s="58">
        <f t="shared" si="34"/>
        <v>2900</v>
      </c>
      <c r="F106" s="58">
        <f t="shared" si="35"/>
        <v>4640</v>
      </c>
      <c r="H106" s="58">
        <f>C106*0.5</f>
        <v>2900</v>
      </c>
      <c r="I106" s="58">
        <f>D106*0.5</f>
        <v>870</v>
      </c>
      <c r="J106" s="58">
        <f>E106*0.5</f>
        <v>1450</v>
      </c>
      <c r="K106" s="58">
        <f>F106*0.5</f>
        <v>2320</v>
      </c>
      <c r="M106" s="58">
        <f>C106*0.75</f>
        <v>4350</v>
      </c>
      <c r="N106" s="58">
        <f>D106*0.75</f>
        <v>1305</v>
      </c>
      <c r="O106" s="58">
        <f>E106*0.75</f>
        <v>2175</v>
      </c>
      <c r="P106" s="58">
        <f>F106*0.75</f>
        <v>3480</v>
      </c>
    </row>
    <row r="107" spans="1:16" x14ac:dyDescent="0.15">
      <c r="A107" s="53" t="s">
        <v>30</v>
      </c>
      <c r="B107" s="51" t="s">
        <v>2</v>
      </c>
      <c r="C107" s="52">
        <v>9400</v>
      </c>
      <c r="D107" s="58">
        <f t="shared" si="33"/>
        <v>2820</v>
      </c>
      <c r="E107" s="58">
        <f t="shared" si="34"/>
        <v>4700</v>
      </c>
      <c r="F107" s="58">
        <f t="shared" si="35"/>
        <v>7520</v>
      </c>
      <c r="H107" s="60"/>
      <c r="I107" s="60"/>
      <c r="J107" s="60"/>
      <c r="K107" s="60"/>
      <c r="M107" s="60"/>
      <c r="N107" s="60"/>
      <c r="O107" s="60"/>
      <c r="P107" s="60"/>
    </row>
    <row r="108" spans="1:16" x14ac:dyDescent="0.15">
      <c r="A108" s="54"/>
      <c r="B108" s="51" t="s">
        <v>3</v>
      </c>
      <c r="C108" s="52">
        <v>6100</v>
      </c>
      <c r="D108" s="58">
        <f t="shared" si="33"/>
        <v>1830</v>
      </c>
      <c r="E108" s="58">
        <f t="shared" si="34"/>
        <v>3050</v>
      </c>
      <c r="F108" s="58">
        <f t="shared" si="35"/>
        <v>4880</v>
      </c>
      <c r="H108" s="60"/>
      <c r="I108" s="60"/>
      <c r="J108" s="60"/>
      <c r="K108" s="60"/>
      <c r="M108" s="60"/>
      <c r="N108" s="60"/>
      <c r="O108" s="60"/>
      <c r="P108" s="60"/>
    </row>
    <row r="111" spans="1:16" x14ac:dyDescent="0.15">
      <c r="H111" s="50" t="s">
        <v>78</v>
      </c>
      <c r="M111" s="50" t="s">
        <v>79</v>
      </c>
    </row>
    <row r="112" spans="1:16" x14ac:dyDescent="0.15">
      <c r="A112" s="55" t="s">
        <v>85</v>
      </c>
      <c r="B112" s="56"/>
      <c r="C112" s="58" t="s">
        <v>69</v>
      </c>
      <c r="D112" s="57" t="s">
        <v>75</v>
      </c>
      <c r="E112" s="58" t="s">
        <v>76</v>
      </c>
      <c r="F112" s="58" t="s">
        <v>77</v>
      </c>
      <c r="H112" s="58" t="s">
        <v>69</v>
      </c>
      <c r="I112" s="58" t="s">
        <v>75</v>
      </c>
      <c r="J112" s="58" t="s">
        <v>76</v>
      </c>
      <c r="K112" s="58" t="s">
        <v>77</v>
      </c>
      <c r="M112" s="58" t="s">
        <v>69</v>
      </c>
      <c r="N112" s="58" t="s">
        <v>75</v>
      </c>
      <c r="O112" s="58" t="s">
        <v>76</v>
      </c>
      <c r="P112" s="58" t="s">
        <v>77</v>
      </c>
    </row>
    <row r="113" spans="1:16" x14ac:dyDescent="0.15">
      <c r="A113" s="53" t="s">
        <v>53</v>
      </c>
      <c r="B113" s="51" t="s">
        <v>2</v>
      </c>
      <c r="C113" s="59">
        <v>25000</v>
      </c>
      <c r="D113" s="58">
        <f t="shared" ref="D113:D118" si="36">C113*0.3</f>
        <v>7500</v>
      </c>
      <c r="E113" s="58">
        <f t="shared" ref="E113:E118" si="37">C113*0.5</f>
        <v>12500</v>
      </c>
      <c r="F113" s="58">
        <f t="shared" ref="F113:F118" si="38">C113*0.8</f>
        <v>20000</v>
      </c>
      <c r="H113" s="60"/>
      <c r="I113" s="60"/>
      <c r="J113" s="60"/>
      <c r="K113" s="60"/>
      <c r="M113" s="60"/>
      <c r="N113" s="60"/>
      <c r="O113" s="60"/>
      <c r="P113" s="60"/>
    </row>
    <row r="114" spans="1:16" x14ac:dyDescent="0.15">
      <c r="A114" s="54"/>
      <c r="B114" s="51" t="s">
        <v>3</v>
      </c>
      <c r="C114" s="52">
        <v>23500</v>
      </c>
      <c r="D114" s="58">
        <f t="shared" si="36"/>
        <v>7050</v>
      </c>
      <c r="E114" s="58">
        <f t="shared" si="37"/>
        <v>11750</v>
      </c>
      <c r="F114" s="58">
        <f t="shared" si="38"/>
        <v>18800</v>
      </c>
      <c r="H114" s="58">
        <f>C114*0.5</f>
        <v>11750</v>
      </c>
      <c r="I114" s="58">
        <f>D114*0.5</f>
        <v>3525</v>
      </c>
      <c r="J114" s="58">
        <f>E114*0.5</f>
        <v>5875</v>
      </c>
      <c r="K114" s="58">
        <f>F114*0.5</f>
        <v>9400</v>
      </c>
      <c r="M114" s="58">
        <f>C114*0.75</f>
        <v>17625</v>
      </c>
      <c r="N114" s="58">
        <f>D114*0.75</f>
        <v>5287.5</v>
      </c>
      <c r="O114" s="58">
        <f>E114*0.75</f>
        <v>8812.5</v>
      </c>
      <c r="P114" s="58">
        <f>F114*0.75</f>
        <v>14100</v>
      </c>
    </row>
    <row r="115" spans="1:16" x14ac:dyDescent="0.15">
      <c r="A115" s="53" t="s">
        <v>70</v>
      </c>
      <c r="B115" s="51" t="s">
        <v>2</v>
      </c>
      <c r="C115" s="52">
        <v>7400</v>
      </c>
      <c r="D115" s="58">
        <f t="shared" si="36"/>
        <v>2220</v>
      </c>
      <c r="E115" s="58">
        <f t="shared" si="37"/>
        <v>3700</v>
      </c>
      <c r="F115" s="58">
        <f t="shared" si="38"/>
        <v>5920</v>
      </c>
      <c r="H115" s="60"/>
      <c r="I115" s="60"/>
      <c r="J115" s="60"/>
      <c r="K115" s="60"/>
      <c r="M115" s="60"/>
      <c r="N115" s="60"/>
      <c r="O115" s="60"/>
      <c r="P115" s="60"/>
    </row>
    <row r="116" spans="1:16" x14ac:dyDescent="0.15">
      <c r="A116" s="54"/>
      <c r="B116" s="51" t="s">
        <v>3</v>
      </c>
      <c r="C116" s="52">
        <v>5800</v>
      </c>
      <c r="D116" s="58">
        <f t="shared" si="36"/>
        <v>1740</v>
      </c>
      <c r="E116" s="58">
        <f t="shared" si="37"/>
        <v>2900</v>
      </c>
      <c r="F116" s="58">
        <f t="shared" si="38"/>
        <v>4640</v>
      </c>
      <c r="H116" s="58">
        <f>C116*0.5</f>
        <v>2900</v>
      </c>
      <c r="I116" s="58">
        <f>D116*0.5</f>
        <v>870</v>
      </c>
      <c r="J116" s="58">
        <f>E116*0.5</f>
        <v>1450</v>
      </c>
      <c r="K116" s="58">
        <f>F116*0.5</f>
        <v>2320</v>
      </c>
      <c r="M116" s="58">
        <f>C116*0.75</f>
        <v>4350</v>
      </c>
      <c r="N116" s="58">
        <f>D116*0.75</f>
        <v>1305</v>
      </c>
      <c r="O116" s="58">
        <f>E116*0.75</f>
        <v>2175</v>
      </c>
      <c r="P116" s="58">
        <f>F116*0.75</f>
        <v>3480</v>
      </c>
    </row>
    <row r="117" spans="1:16" x14ac:dyDescent="0.15">
      <c r="A117" s="53" t="s">
        <v>30</v>
      </c>
      <c r="B117" s="51" t="s">
        <v>2</v>
      </c>
      <c r="C117" s="52">
        <v>9400</v>
      </c>
      <c r="D117" s="58">
        <f t="shared" si="36"/>
        <v>2820</v>
      </c>
      <c r="E117" s="58">
        <f t="shared" si="37"/>
        <v>4700</v>
      </c>
      <c r="F117" s="58">
        <f t="shared" si="38"/>
        <v>7520</v>
      </c>
      <c r="H117" s="60"/>
      <c r="I117" s="60"/>
      <c r="J117" s="60"/>
      <c r="K117" s="60"/>
      <c r="M117" s="60"/>
      <c r="N117" s="60"/>
      <c r="O117" s="60"/>
      <c r="P117" s="60"/>
    </row>
    <row r="118" spans="1:16" x14ac:dyDescent="0.15">
      <c r="A118" s="54"/>
      <c r="B118" s="51" t="s">
        <v>3</v>
      </c>
      <c r="C118" s="52">
        <v>6100</v>
      </c>
      <c r="D118" s="58">
        <f t="shared" si="36"/>
        <v>1830</v>
      </c>
      <c r="E118" s="58">
        <f t="shared" si="37"/>
        <v>3050</v>
      </c>
      <c r="F118" s="58">
        <f t="shared" si="38"/>
        <v>4880</v>
      </c>
      <c r="H118" s="60"/>
      <c r="I118" s="60"/>
      <c r="J118" s="60"/>
      <c r="K118" s="60"/>
      <c r="M118" s="60"/>
      <c r="N118" s="60"/>
      <c r="O118" s="60"/>
      <c r="P118" s="60"/>
    </row>
    <row r="120" spans="1:16" x14ac:dyDescent="0.15">
      <c r="A120" s="55" t="s">
        <v>86</v>
      </c>
      <c r="B120" s="56"/>
      <c r="C120" s="58" t="s">
        <v>69</v>
      </c>
      <c r="D120" s="57" t="s">
        <v>75</v>
      </c>
      <c r="E120" s="58" t="s">
        <v>76</v>
      </c>
      <c r="F120" s="58" t="s">
        <v>77</v>
      </c>
      <c r="H120" s="58" t="s">
        <v>69</v>
      </c>
      <c r="I120" s="58" t="s">
        <v>75</v>
      </c>
      <c r="J120" s="58" t="s">
        <v>76</v>
      </c>
      <c r="K120" s="58" t="s">
        <v>77</v>
      </c>
      <c r="M120" s="58" t="s">
        <v>69</v>
      </c>
      <c r="N120" s="58" t="s">
        <v>75</v>
      </c>
      <c r="O120" s="58" t="s">
        <v>76</v>
      </c>
      <c r="P120" s="58" t="s">
        <v>77</v>
      </c>
    </row>
    <row r="121" spans="1:16" x14ac:dyDescent="0.15">
      <c r="A121" s="53" t="s">
        <v>53</v>
      </c>
      <c r="B121" s="51" t="s">
        <v>2</v>
      </c>
      <c r="C121" s="59">
        <v>25000</v>
      </c>
      <c r="D121" s="58">
        <f t="shared" ref="D121:D126" si="39">C121*0.3</f>
        <v>7500</v>
      </c>
      <c r="E121" s="58">
        <f t="shared" ref="E121:E126" si="40">C121*0.5</f>
        <v>12500</v>
      </c>
      <c r="F121" s="58">
        <f t="shared" ref="F121:F126" si="41">C121*0.8</f>
        <v>20000</v>
      </c>
      <c r="H121" s="60"/>
      <c r="I121" s="60"/>
      <c r="J121" s="60"/>
      <c r="K121" s="60"/>
      <c r="M121" s="60"/>
      <c r="N121" s="60"/>
      <c r="O121" s="60"/>
      <c r="P121" s="60"/>
    </row>
    <row r="122" spans="1:16" x14ac:dyDescent="0.15">
      <c r="A122" s="54"/>
      <c r="B122" s="51" t="s">
        <v>3</v>
      </c>
      <c r="C122" s="52">
        <v>23500</v>
      </c>
      <c r="D122" s="58">
        <f t="shared" si="39"/>
        <v>7050</v>
      </c>
      <c r="E122" s="58">
        <f t="shared" si="40"/>
        <v>11750</v>
      </c>
      <c r="F122" s="58">
        <f t="shared" si="41"/>
        <v>18800</v>
      </c>
      <c r="H122" s="58">
        <f>C122*0.5</f>
        <v>11750</v>
      </c>
      <c r="I122" s="58">
        <f>D122*0.5</f>
        <v>3525</v>
      </c>
      <c r="J122" s="58">
        <f>E122*0.5</f>
        <v>5875</v>
      </c>
      <c r="K122" s="58">
        <f>F122*0.5</f>
        <v>9400</v>
      </c>
      <c r="M122" s="58">
        <f>C122*0.75</f>
        <v>17625</v>
      </c>
      <c r="N122" s="58">
        <f>D122*0.75</f>
        <v>5287.5</v>
      </c>
      <c r="O122" s="58">
        <f>E122*0.75</f>
        <v>8812.5</v>
      </c>
      <c r="P122" s="58">
        <f>F122*0.75</f>
        <v>14100</v>
      </c>
    </row>
    <row r="123" spans="1:16" x14ac:dyDescent="0.15">
      <c r="A123" s="53" t="s">
        <v>70</v>
      </c>
      <c r="B123" s="51" t="s">
        <v>2</v>
      </c>
      <c r="C123" s="52">
        <v>7400</v>
      </c>
      <c r="D123" s="58">
        <f t="shared" si="39"/>
        <v>2220</v>
      </c>
      <c r="E123" s="58">
        <f t="shared" si="40"/>
        <v>3700</v>
      </c>
      <c r="F123" s="58">
        <f t="shared" si="41"/>
        <v>5920</v>
      </c>
      <c r="H123" s="60"/>
      <c r="I123" s="60"/>
      <c r="J123" s="60"/>
      <c r="K123" s="60"/>
      <c r="M123" s="60"/>
      <c r="N123" s="60"/>
      <c r="O123" s="60"/>
      <c r="P123" s="60"/>
    </row>
    <row r="124" spans="1:16" x14ac:dyDescent="0.15">
      <c r="A124" s="54"/>
      <c r="B124" s="51" t="s">
        <v>3</v>
      </c>
      <c r="C124" s="52">
        <v>5800</v>
      </c>
      <c r="D124" s="58">
        <f t="shared" si="39"/>
        <v>1740</v>
      </c>
      <c r="E124" s="58">
        <f t="shared" si="40"/>
        <v>2900</v>
      </c>
      <c r="F124" s="58">
        <f t="shared" si="41"/>
        <v>4640</v>
      </c>
      <c r="H124" s="58">
        <f>C124*0.5</f>
        <v>2900</v>
      </c>
      <c r="I124" s="58">
        <f>D124*0.5</f>
        <v>870</v>
      </c>
      <c r="J124" s="58">
        <f>E124*0.5</f>
        <v>1450</v>
      </c>
      <c r="K124" s="58">
        <f>F124*0.5</f>
        <v>2320</v>
      </c>
      <c r="M124" s="58">
        <f>C124*0.75</f>
        <v>4350</v>
      </c>
      <c r="N124" s="58">
        <f>D124*0.75</f>
        <v>1305</v>
      </c>
      <c r="O124" s="58">
        <f>E124*0.75</f>
        <v>2175</v>
      </c>
      <c r="P124" s="58">
        <f>F124*0.75</f>
        <v>3480</v>
      </c>
    </row>
    <row r="125" spans="1:16" x14ac:dyDescent="0.15">
      <c r="A125" s="53" t="s">
        <v>30</v>
      </c>
      <c r="B125" s="51" t="s">
        <v>2</v>
      </c>
      <c r="C125" s="52">
        <v>9400</v>
      </c>
      <c r="D125" s="58">
        <f t="shared" si="39"/>
        <v>2820</v>
      </c>
      <c r="E125" s="58">
        <f t="shared" si="40"/>
        <v>4700</v>
      </c>
      <c r="F125" s="58">
        <f t="shared" si="41"/>
        <v>7520</v>
      </c>
      <c r="H125" s="60"/>
      <c r="I125" s="60"/>
      <c r="J125" s="60"/>
      <c r="K125" s="60"/>
      <c r="M125" s="60"/>
      <c r="N125" s="60"/>
      <c r="O125" s="60"/>
      <c r="P125" s="60"/>
    </row>
    <row r="126" spans="1:16" x14ac:dyDescent="0.15">
      <c r="A126" s="54"/>
      <c r="B126" s="51" t="s">
        <v>3</v>
      </c>
      <c r="C126" s="52">
        <v>6100</v>
      </c>
      <c r="D126" s="58">
        <f t="shared" si="39"/>
        <v>1830</v>
      </c>
      <c r="E126" s="58">
        <f t="shared" si="40"/>
        <v>3050</v>
      </c>
      <c r="F126" s="58">
        <f t="shared" si="41"/>
        <v>4880</v>
      </c>
      <c r="H126" s="60"/>
      <c r="I126" s="60"/>
      <c r="J126" s="60"/>
      <c r="K126" s="60"/>
      <c r="M126" s="60"/>
      <c r="N126" s="60"/>
      <c r="O126" s="60"/>
      <c r="P126" s="60"/>
    </row>
    <row r="128" spans="1:16" x14ac:dyDescent="0.15">
      <c r="H128" s="50" t="s">
        <v>78</v>
      </c>
      <c r="M128" s="50" t="s">
        <v>79</v>
      </c>
    </row>
    <row r="129" spans="1:16" x14ac:dyDescent="0.15">
      <c r="A129" s="55" t="s">
        <v>88</v>
      </c>
      <c r="B129" s="56"/>
      <c r="C129" s="58" t="s">
        <v>69</v>
      </c>
      <c r="D129" s="57" t="s">
        <v>75</v>
      </c>
      <c r="E129" s="58" t="s">
        <v>76</v>
      </c>
      <c r="F129" s="58" t="s">
        <v>77</v>
      </c>
      <c r="H129" s="58" t="s">
        <v>69</v>
      </c>
      <c r="I129" s="58" t="s">
        <v>75</v>
      </c>
      <c r="J129" s="58" t="s">
        <v>76</v>
      </c>
      <c r="K129" s="58" t="s">
        <v>77</v>
      </c>
      <c r="M129" s="58" t="s">
        <v>69</v>
      </c>
      <c r="N129" s="58" t="s">
        <v>75</v>
      </c>
      <c r="O129" s="58" t="s">
        <v>76</v>
      </c>
      <c r="P129" s="58" t="s">
        <v>77</v>
      </c>
    </row>
    <row r="130" spans="1:16" x14ac:dyDescent="0.15">
      <c r="A130" s="53" t="s">
        <v>53</v>
      </c>
      <c r="B130" s="51" t="s">
        <v>2</v>
      </c>
      <c r="C130" s="59">
        <v>25000</v>
      </c>
      <c r="D130" s="58">
        <f t="shared" ref="D130:D135" si="42">C130*0.3</f>
        <v>7500</v>
      </c>
      <c r="E130" s="58">
        <f t="shared" ref="E130:E135" si="43">C130*0.5</f>
        <v>12500</v>
      </c>
      <c r="F130" s="58">
        <f t="shared" ref="F130:F135" si="44">C130*0.8</f>
        <v>20000</v>
      </c>
      <c r="H130" s="60"/>
      <c r="I130" s="60"/>
      <c r="J130" s="60"/>
      <c r="K130" s="60"/>
      <c r="M130" s="60"/>
      <c r="N130" s="60"/>
      <c r="O130" s="60"/>
      <c r="P130" s="60"/>
    </row>
    <row r="131" spans="1:16" x14ac:dyDescent="0.15">
      <c r="A131" s="54"/>
      <c r="B131" s="51" t="s">
        <v>3</v>
      </c>
      <c r="C131" s="52">
        <v>23500</v>
      </c>
      <c r="D131" s="58">
        <f t="shared" si="42"/>
        <v>7050</v>
      </c>
      <c r="E131" s="58">
        <f t="shared" si="43"/>
        <v>11750</v>
      </c>
      <c r="F131" s="58">
        <f t="shared" si="44"/>
        <v>18800</v>
      </c>
      <c r="H131" s="58">
        <f>C131*0.5</f>
        <v>11750</v>
      </c>
      <c r="I131" s="58">
        <f>D131*0.5</f>
        <v>3525</v>
      </c>
      <c r="J131" s="58">
        <f>E131*0.5</f>
        <v>5875</v>
      </c>
      <c r="K131" s="58">
        <f>F131*0.5</f>
        <v>9400</v>
      </c>
      <c r="M131" s="58">
        <f>C131*0.75</f>
        <v>17625</v>
      </c>
      <c r="N131" s="58">
        <f>D131*0.75</f>
        <v>5287.5</v>
      </c>
      <c r="O131" s="58">
        <f>E131*0.75</f>
        <v>8812.5</v>
      </c>
      <c r="P131" s="58">
        <f>F131*0.75</f>
        <v>14100</v>
      </c>
    </row>
    <row r="132" spans="1:16" x14ac:dyDescent="0.15">
      <c r="A132" s="53" t="s">
        <v>70</v>
      </c>
      <c r="B132" s="51" t="s">
        <v>2</v>
      </c>
      <c r="C132" s="52">
        <v>7400</v>
      </c>
      <c r="D132" s="58">
        <f t="shared" si="42"/>
        <v>2220</v>
      </c>
      <c r="E132" s="58">
        <f t="shared" si="43"/>
        <v>3700</v>
      </c>
      <c r="F132" s="58">
        <f t="shared" si="44"/>
        <v>5920</v>
      </c>
      <c r="H132" s="60"/>
      <c r="I132" s="60"/>
      <c r="J132" s="60"/>
      <c r="K132" s="60"/>
      <c r="M132" s="60"/>
      <c r="N132" s="60"/>
      <c r="O132" s="60"/>
      <c r="P132" s="60"/>
    </row>
    <row r="133" spans="1:16" x14ac:dyDescent="0.15">
      <c r="A133" s="54"/>
      <c r="B133" s="51" t="s">
        <v>3</v>
      </c>
      <c r="C133" s="52">
        <v>5800</v>
      </c>
      <c r="D133" s="58">
        <f t="shared" si="42"/>
        <v>1740</v>
      </c>
      <c r="E133" s="58">
        <f t="shared" si="43"/>
        <v>2900</v>
      </c>
      <c r="F133" s="58">
        <f t="shared" si="44"/>
        <v>4640</v>
      </c>
      <c r="H133" s="58">
        <f>C133*0.5</f>
        <v>2900</v>
      </c>
      <c r="I133" s="58">
        <f>D133*0.5</f>
        <v>870</v>
      </c>
      <c r="J133" s="58">
        <f>E133*0.5</f>
        <v>1450</v>
      </c>
      <c r="K133" s="58">
        <f>F133*0.5</f>
        <v>2320</v>
      </c>
      <c r="M133" s="58">
        <f>C133*0.75</f>
        <v>4350</v>
      </c>
      <c r="N133" s="58">
        <f>D133*0.75</f>
        <v>1305</v>
      </c>
      <c r="O133" s="58">
        <f>E133*0.75</f>
        <v>2175</v>
      </c>
      <c r="P133" s="58">
        <f>F133*0.75</f>
        <v>3480</v>
      </c>
    </row>
    <row r="134" spans="1:16" x14ac:dyDescent="0.15">
      <c r="A134" s="53" t="s">
        <v>30</v>
      </c>
      <c r="B134" s="51" t="s">
        <v>2</v>
      </c>
      <c r="C134" s="52">
        <v>9400</v>
      </c>
      <c r="D134" s="58">
        <f t="shared" si="42"/>
        <v>2820</v>
      </c>
      <c r="E134" s="58">
        <f t="shared" si="43"/>
        <v>4700</v>
      </c>
      <c r="F134" s="58">
        <f t="shared" si="44"/>
        <v>7520</v>
      </c>
      <c r="H134" s="60"/>
      <c r="I134" s="60"/>
      <c r="J134" s="60"/>
      <c r="K134" s="60"/>
      <c r="M134" s="60"/>
      <c r="N134" s="60"/>
      <c r="O134" s="60"/>
      <c r="P134" s="60"/>
    </row>
    <row r="135" spans="1:16" x14ac:dyDescent="0.15">
      <c r="A135" s="54"/>
      <c r="B135" s="51" t="s">
        <v>3</v>
      </c>
      <c r="C135" s="52">
        <v>6100</v>
      </c>
      <c r="D135" s="58">
        <f t="shared" si="42"/>
        <v>1830</v>
      </c>
      <c r="E135" s="58">
        <f t="shared" si="43"/>
        <v>3050</v>
      </c>
      <c r="F135" s="58">
        <f t="shared" si="44"/>
        <v>4880</v>
      </c>
      <c r="H135" s="60"/>
      <c r="I135" s="60"/>
      <c r="J135" s="60"/>
      <c r="K135" s="60"/>
      <c r="M135" s="60"/>
      <c r="N135" s="60"/>
      <c r="O135" s="60"/>
      <c r="P135" s="60"/>
    </row>
    <row r="137" spans="1:16" x14ac:dyDescent="0.15">
      <c r="H137" s="50" t="s">
        <v>78</v>
      </c>
      <c r="M137" s="50" t="s">
        <v>79</v>
      </c>
    </row>
    <row r="138" spans="1:16" x14ac:dyDescent="0.15">
      <c r="A138" s="55" t="s">
        <v>89</v>
      </c>
      <c r="B138" s="56"/>
      <c r="C138" s="58" t="s">
        <v>69</v>
      </c>
      <c r="D138" s="57" t="s">
        <v>75</v>
      </c>
      <c r="E138" s="58" t="s">
        <v>76</v>
      </c>
      <c r="F138" s="58" t="s">
        <v>77</v>
      </c>
      <c r="H138" s="58" t="s">
        <v>69</v>
      </c>
      <c r="I138" s="58" t="s">
        <v>75</v>
      </c>
      <c r="J138" s="58" t="s">
        <v>76</v>
      </c>
      <c r="K138" s="58" t="s">
        <v>77</v>
      </c>
      <c r="M138" s="58" t="s">
        <v>69</v>
      </c>
      <c r="N138" s="58" t="s">
        <v>75</v>
      </c>
      <c r="O138" s="58" t="s">
        <v>76</v>
      </c>
      <c r="P138" s="58" t="s">
        <v>77</v>
      </c>
    </row>
    <row r="139" spans="1:16" x14ac:dyDescent="0.15">
      <c r="A139" s="53" t="s">
        <v>53</v>
      </c>
      <c r="B139" s="51" t="s">
        <v>2</v>
      </c>
      <c r="C139" s="59">
        <v>25000</v>
      </c>
      <c r="D139" s="58">
        <f t="shared" ref="D139:D144" si="45">C139*0.3</f>
        <v>7500</v>
      </c>
      <c r="E139" s="58">
        <f t="shared" ref="E139:E144" si="46">C139*0.5</f>
        <v>12500</v>
      </c>
      <c r="F139" s="58">
        <f t="shared" ref="F139:F144" si="47">C139*0.8</f>
        <v>20000</v>
      </c>
      <c r="H139" s="60"/>
      <c r="I139" s="60"/>
      <c r="J139" s="60"/>
      <c r="K139" s="60"/>
      <c r="M139" s="60"/>
      <c r="N139" s="60"/>
      <c r="O139" s="60"/>
      <c r="P139" s="60"/>
    </row>
    <row r="140" spans="1:16" x14ac:dyDescent="0.15">
      <c r="A140" s="54"/>
      <c r="B140" s="51" t="s">
        <v>3</v>
      </c>
      <c r="C140" s="52">
        <v>23500</v>
      </c>
      <c r="D140" s="58">
        <f t="shared" si="45"/>
        <v>7050</v>
      </c>
      <c r="E140" s="58">
        <f t="shared" si="46"/>
        <v>11750</v>
      </c>
      <c r="F140" s="58">
        <f t="shared" si="47"/>
        <v>18800</v>
      </c>
      <c r="H140" s="58">
        <f>C140*0.5</f>
        <v>11750</v>
      </c>
      <c r="I140" s="58">
        <f>D140*0.5</f>
        <v>3525</v>
      </c>
      <c r="J140" s="58">
        <f>E140*0.5</f>
        <v>5875</v>
      </c>
      <c r="K140" s="58">
        <f>F140*0.5</f>
        <v>9400</v>
      </c>
      <c r="M140" s="58">
        <f>C140*0.75</f>
        <v>17625</v>
      </c>
      <c r="N140" s="58">
        <f>D140*0.75</f>
        <v>5287.5</v>
      </c>
      <c r="O140" s="58">
        <f>E140*0.75</f>
        <v>8812.5</v>
      </c>
      <c r="P140" s="58">
        <f>F140*0.75</f>
        <v>14100</v>
      </c>
    </row>
    <row r="141" spans="1:16" x14ac:dyDescent="0.15">
      <c r="A141" s="53" t="s">
        <v>70</v>
      </c>
      <c r="B141" s="51" t="s">
        <v>2</v>
      </c>
      <c r="C141" s="52">
        <v>7400</v>
      </c>
      <c r="D141" s="58">
        <f t="shared" si="45"/>
        <v>2220</v>
      </c>
      <c r="E141" s="58">
        <f t="shared" si="46"/>
        <v>3700</v>
      </c>
      <c r="F141" s="58">
        <f t="shared" si="47"/>
        <v>5920</v>
      </c>
      <c r="H141" s="60"/>
      <c r="I141" s="60"/>
      <c r="J141" s="60"/>
      <c r="K141" s="60"/>
      <c r="M141" s="60"/>
      <c r="N141" s="60"/>
      <c r="O141" s="60"/>
      <c r="P141" s="60"/>
    </row>
    <row r="142" spans="1:16" x14ac:dyDescent="0.15">
      <c r="A142" s="54"/>
      <c r="B142" s="51" t="s">
        <v>3</v>
      </c>
      <c r="C142" s="52">
        <v>5800</v>
      </c>
      <c r="D142" s="58">
        <f t="shared" si="45"/>
        <v>1740</v>
      </c>
      <c r="E142" s="58">
        <f t="shared" si="46"/>
        <v>2900</v>
      </c>
      <c r="F142" s="58">
        <f t="shared" si="47"/>
        <v>4640</v>
      </c>
      <c r="H142" s="58">
        <f>C142*0.5</f>
        <v>2900</v>
      </c>
      <c r="I142" s="58">
        <f>D142*0.5</f>
        <v>870</v>
      </c>
      <c r="J142" s="58">
        <f>E142*0.5</f>
        <v>1450</v>
      </c>
      <c r="K142" s="58">
        <f>F142*0.5</f>
        <v>2320</v>
      </c>
      <c r="M142" s="58">
        <f>C142*0.75</f>
        <v>4350</v>
      </c>
      <c r="N142" s="58">
        <f>D142*0.75</f>
        <v>1305</v>
      </c>
      <c r="O142" s="58">
        <f>E142*0.75</f>
        <v>2175</v>
      </c>
      <c r="P142" s="58">
        <f>F142*0.75</f>
        <v>3480</v>
      </c>
    </row>
    <row r="143" spans="1:16" x14ac:dyDescent="0.15">
      <c r="A143" s="53" t="s">
        <v>30</v>
      </c>
      <c r="B143" s="51" t="s">
        <v>2</v>
      </c>
      <c r="C143" s="52">
        <v>9400</v>
      </c>
      <c r="D143" s="58">
        <f t="shared" si="45"/>
        <v>2820</v>
      </c>
      <c r="E143" s="58">
        <f t="shared" si="46"/>
        <v>4700</v>
      </c>
      <c r="F143" s="58">
        <f t="shared" si="47"/>
        <v>7520</v>
      </c>
      <c r="H143" s="60"/>
      <c r="I143" s="60"/>
      <c r="J143" s="60"/>
      <c r="K143" s="60"/>
      <c r="M143" s="60"/>
      <c r="N143" s="60"/>
      <c r="O143" s="60"/>
      <c r="P143" s="60"/>
    </row>
    <row r="144" spans="1:16" x14ac:dyDescent="0.15">
      <c r="A144" s="54"/>
      <c r="B144" s="51" t="s">
        <v>3</v>
      </c>
      <c r="C144" s="52">
        <v>6100</v>
      </c>
      <c r="D144" s="58">
        <f t="shared" si="45"/>
        <v>1830</v>
      </c>
      <c r="E144" s="58">
        <f t="shared" si="46"/>
        <v>3050</v>
      </c>
      <c r="F144" s="58">
        <f t="shared" si="47"/>
        <v>4880</v>
      </c>
      <c r="H144" s="60"/>
      <c r="I144" s="60"/>
      <c r="J144" s="60"/>
      <c r="K144" s="60"/>
      <c r="M144" s="60"/>
      <c r="N144" s="60"/>
      <c r="O144" s="60"/>
      <c r="P144" s="60"/>
    </row>
    <row r="146" spans="1:16" x14ac:dyDescent="0.15">
      <c r="H146" s="50" t="s">
        <v>78</v>
      </c>
      <c r="M146" s="50" t="s">
        <v>79</v>
      </c>
    </row>
    <row r="147" spans="1:16" x14ac:dyDescent="0.15">
      <c r="A147" s="55" t="s">
        <v>90</v>
      </c>
      <c r="B147" s="56"/>
      <c r="C147" s="58" t="s">
        <v>69</v>
      </c>
      <c r="D147" s="57" t="s">
        <v>75</v>
      </c>
      <c r="E147" s="58" t="s">
        <v>76</v>
      </c>
      <c r="F147" s="58" t="s">
        <v>77</v>
      </c>
      <c r="H147" s="58" t="s">
        <v>69</v>
      </c>
      <c r="I147" s="58" t="s">
        <v>75</v>
      </c>
      <c r="J147" s="58" t="s">
        <v>76</v>
      </c>
      <c r="K147" s="58" t="s">
        <v>77</v>
      </c>
      <c r="M147" s="58" t="s">
        <v>69</v>
      </c>
      <c r="N147" s="58" t="s">
        <v>75</v>
      </c>
      <c r="O147" s="58" t="s">
        <v>76</v>
      </c>
      <c r="P147" s="58" t="s">
        <v>77</v>
      </c>
    </row>
    <row r="148" spans="1:16" x14ac:dyDescent="0.15">
      <c r="A148" s="53" t="s">
        <v>53</v>
      </c>
      <c r="B148" s="51" t="s">
        <v>2</v>
      </c>
      <c r="C148" s="59">
        <v>25000</v>
      </c>
      <c r="D148" s="58">
        <f t="shared" ref="D148:D153" si="48">C148*0.3</f>
        <v>7500</v>
      </c>
      <c r="E148" s="58">
        <f t="shared" ref="E148:E153" si="49">C148*0.5</f>
        <v>12500</v>
      </c>
      <c r="F148" s="58">
        <f t="shared" ref="F148:F153" si="50">C148*0.8</f>
        <v>20000</v>
      </c>
      <c r="H148" s="60"/>
      <c r="I148" s="60"/>
      <c r="J148" s="60"/>
      <c r="K148" s="60"/>
      <c r="M148" s="60"/>
      <c r="N148" s="60"/>
      <c r="O148" s="60"/>
      <c r="P148" s="60"/>
    </row>
    <row r="149" spans="1:16" x14ac:dyDescent="0.15">
      <c r="A149" s="54"/>
      <c r="B149" s="51" t="s">
        <v>3</v>
      </c>
      <c r="C149" s="52">
        <v>23500</v>
      </c>
      <c r="D149" s="58">
        <f t="shared" si="48"/>
        <v>7050</v>
      </c>
      <c r="E149" s="58">
        <f t="shared" si="49"/>
        <v>11750</v>
      </c>
      <c r="F149" s="58">
        <f t="shared" si="50"/>
        <v>18800</v>
      </c>
      <c r="H149" s="58">
        <f>C149*0.5</f>
        <v>11750</v>
      </c>
      <c r="I149" s="58">
        <f>D149*0.5</f>
        <v>3525</v>
      </c>
      <c r="J149" s="58">
        <f>E149*0.5</f>
        <v>5875</v>
      </c>
      <c r="K149" s="58">
        <f>F149*0.5</f>
        <v>9400</v>
      </c>
      <c r="M149" s="58">
        <f>C149*0.75</f>
        <v>17625</v>
      </c>
      <c r="N149" s="58">
        <f>D149*0.75</f>
        <v>5287.5</v>
      </c>
      <c r="O149" s="58">
        <f>E149*0.75</f>
        <v>8812.5</v>
      </c>
      <c r="P149" s="58">
        <f>F149*0.75</f>
        <v>14100</v>
      </c>
    </row>
    <row r="150" spans="1:16" x14ac:dyDescent="0.15">
      <c r="A150" s="53" t="s">
        <v>70</v>
      </c>
      <c r="B150" s="51" t="s">
        <v>2</v>
      </c>
      <c r="C150" s="52">
        <v>7400</v>
      </c>
      <c r="D150" s="58">
        <f t="shared" si="48"/>
        <v>2220</v>
      </c>
      <c r="E150" s="58">
        <f t="shared" si="49"/>
        <v>3700</v>
      </c>
      <c r="F150" s="58">
        <f t="shared" si="50"/>
        <v>5920</v>
      </c>
      <c r="H150" s="60"/>
      <c r="I150" s="60"/>
      <c r="J150" s="60"/>
      <c r="K150" s="60"/>
      <c r="M150" s="60"/>
      <c r="N150" s="60"/>
      <c r="O150" s="60"/>
      <c r="P150" s="60"/>
    </row>
    <row r="151" spans="1:16" x14ac:dyDescent="0.15">
      <c r="A151" s="54"/>
      <c r="B151" s="51" t="s">
        <v>3</v>
      </c>
      <c r="C151" s="52">
        <v>5800</v>
      </c>
      <c r="D151" s="58">
        <f t="shared" si="48"/>
        <v>1740</v>
      </c>
      <c r="E151" s="58">
        <f t="shared" si="49"/>
        <v>2900</v>
      </c>
      <c r="F151" s="58">
        <f t="shared" si="50"/>
        <v>4640</v>
      </c>
      <c r="H151" s="58">
        <f>C151*0.5</f>
        <v>2900</v>
      </c>
      <c r="I151" s="58">
        <f>D151*0.5</f>
        <v>870</v>
      </c>
      <c r="J151" s="58">
        <f>E151*0.5</f>
        <v>1450</v>
      </c>
      <c r="K151" s="58">
        <f>F151*0.5</f>
        <v>2320</v>
      </c>
      <c r="M151" s="58">
        <f>C151*0.75</f>
        <v>4350</v>
      </c>
      <c r="N151" s="58">
        <f>D151*0.75</f>
        <v>1305</v>
      </c>
      <c r="O151" s="58">
        <f>E151*0.75</f>
        <v>2175</v>
      </c>
      <c r="P151" s="58">
        <f>F151*0.75</f>
        <v>3480</v>
      </c>
    </row>
    <row r="152" spans="1:16" x14ac:dyDescent="0.15">
      <c r="A152" s="53" t="s">
        <v>30</v>
      </c>
      <c r="B152" s="51" t="s">
        <v>2</v>
      </c>
      <c r="C152" s="52">
        <v>9400</v>
      </c>
      <c r="D152" s="58">
        <f t="shared" si="48"/>
        <v>2820</v>
      </c>
      <c r="E152" s="58">
        <f t="shared" si="49"/>
        <v>4700</v>
      </c>
      <c r="F152" s="58">
        <f t="shared" si="50"/>
        <v>7520</v>
      </c>
      <c r="H152" s="60"/>
      <c r="I152" s="60"/>
      <c r="J152" s="60"/>
      <c r="K152" s="60"/>
      <c r="M152" s="60"/>
      <c r="N152" s="60"/>
      <c r="O152" s="60"/>
      <c r="P152" s="60"/>
    </row>
    <row r="153" spans="1:16" x14ac:dyDescent="0.15">
      <c r="A153" s="54"/>
      <c r="B153" s="51" t="s">
        <v>3</v>
      </c>
      <c r="C153" s="52">
        <v>6100</v>
      </c>
      <c r="D153" s="58">
        <f t="shared" si="48"/>
        <v>1830</v>
      </c>
      <c r="E153" s="58">
        <f t="shared" si="49"/>
        <v>3050</v>
      </c>
      <c r="F153" s="58">
        <f t="shared" si="50"/>
        <v>4880</v>
      </c>
      <c r="H153" s="60"/>
      <c r="I153" s="60"/>
      <c r="J153" s="60"/>
      <c r="K153" s="60"/>
      <c r="M153" s="60"/>
      <c r="N153" s="60"/>
      <c r="O153" s="60"/>
      <c r="P153" s="60"/>
    </row>
    <row r="155" spans="1:16" x14ac:dyDescent="0.15">
      <c r="A155" s="55" t="s">
        <v>91</v>
      </c>
      <c r="B155" s="56"/>
      <c r="C155" s="58" t="s">
        <v>69</v>
      </c>
      <c r="D155" s="57" t="s">
        <v>75</v>
      </c>
      <c r="E155" s="58" t="s">
        <v>76</v>
      </c>
      <c r="F155" s="58" t="s">
        <v>77</v>
      </c>
      <c r="H155" s="58" t="s">
        <v>69</v>
      </c>
      <c r="I155" s="58" t="s">
        <v>75</v>
      </c>
      <c r="J155" s="58" t="s">
        <v>76</v>
      </c>
      <c r="K155" s="58" t="s">
        <v>77</v>
      </c>
      <c r="M155" s="58" t="s">
        <v>69</v>
      </c>
      <c r="N155" s="58" t="s">
        <v>75</v>
      </c>
      <c r="O155" s="58" t="s">
        <v>76</v>
      </c>
      <c r="P155" s="58" t="s">
        <v>77</v>
      </c>
    </row>
    <row r="156" spans="1:16" x14ac:dyDescent="0.15">
      <c r="A156" s="53" t="s">
        <v>53</v>
      </c>
      <c r="B156" s="51" t="s">
        <v>2</v>
      </c>
      <c r="C156" s="59">
        <v>25000</v>
      </c>
      <c r="D156" s="58">
        <f t="shared" ref="D156:D161" si="51">C156*0.3</f>
        <v>7500</v>
      </c>
      <c r="E156" s="58">
        <f t="shared" ref="E156:E161" si="52">C156*0.5</f>
        <v>12500</v>
      </c>
      <c r="F156" s="58">
        <f t="shared" ref="F156:F161" si="53">C156*0.8</f>
        <v>20000</v>
      </c>
      <c r="H156" s="60"/>
      <c r="I156" s="60"/>
      <c r="J156" s="60"/>
      <c r="K156" s="60"/>
      <c r="M156" s="60"/>
      <c r="N156" s="60"/>
      <c r="O156" s="60"/>
      <c r="P156" s="60"/>
    </row>
    <row r="157" spans="1:16" x14ac:dyDescent="0.15">
      <c r="A157" s="54"/>
      <c r="B157" s="51" t="s">
        <v>3</v>
      </c>
      <c r="C157" s="52">
        <v>23500</v>
      </c>
      <c r="D157" s="58">
        <f t="shared" si="51"/>
        <v>7050</v>
      </c>
      <c r="E157" s="58">
        <f t="shared" si="52"/>
        <v>11750</v>
      </c>
      <c r="F157" s="58">
        <f t="shared" si="53"/>
        <v>18800</v>
      </c>
      <c r="H157" s="58">
        <f>C157*0.5</f>
        <v>11750</v>
      </c>
      <c r="I157" s="58">
        <f>D157*0.5</f>
        <v>3525</v>
      </c>
      <c r="J157" s="58">
        <f>E157*0.5</f>
        <v>5875</v>
      </c>
      <c r="K157" s="58">
        <f>F157*0.5</f>
        <v>9400</v>
      </c>
      <c r="M157" s="58">
        <f>C157*0.75</f>
        <v>17625</v>
      </c>
      <c r="N157" s="58">
        <f>D157*0.75</f>
        <v>5287.5</v>
      </c>
      <c r="O157" s="58">
        <f>E157*0.75</f>
        <v>8812.5</v>
      </c>
      <c r="P157" s="58">
        <f>F157*0.75</f>
        <v>14100</v>
      </c>
    </row>
    <row r="158" spans="1:16" x14ac:dyDescent="0.15">
      <c r="A158" s="53" t="s">
        <v>70</v>
      </c>
      <c r="B158" s="51" t="s">
        <v>2</v>
      </c>
      <c r="C158" s="52">
        <v>7400</v>
      </c>
      <c r="D158" s="58">
        <f t="shared" si="51"/>
        <v>2220</v>
      </c>
      <c r="E158" s="58">
        <f t="shared" si="52"/>
        <v>3700</v>
      </c>
      <c r="F158" s="58">
        <f t="shared" si="53"/>
        <v>5920</v>
      </c>
      <c r="H158" s="60"/>
      <c r="I158" s="60"/>
      <c r="J158" s="60"/>
      <c r="K158" s="60"/>
      <c r="M158" s="60"/>
      <c r="N158" s="60"/>
      <c r="O158" s="60"/>
      <c r="P158" s="60"/>
    </row>
    <row r="159" spans="1:16" x14ac:dyDescent="0.15">
      <c r="A159" s="54"/>
      <c r="B159" s="51" t="s">
        <v>3</v>
      </c>
      <c r="C159" s="52">
        <v>5800</v>
      </c>
      <c r="D159" s="58">
        <f t="shared" si="51"/>
        <v>1740</v>
      </c>
      <c r="E159" s="58">
        <f t="shared" si="52"/>
        <v>2900</v>
      </c>
      <c r="F159" s="58">
        <f t="shared" si="53"/>
        <v>4640</v>
      </c>
      <c r="H159" s="58">
        <f>C159*0.5</f>
        <v>2900</v>
      </c>
      <c r="I159" s="58">
        <f>D159*0.5</f>
        <v>870</v>
      </c>
      <c r="J159" s="58">
        <f>E159*0.5</f>
        <v>1450</v>
      </c>
      <c r="K159" s="58">
        <f>F159*0.5</f>
        <v>2320</v>
      </c>
      <c r="M159" s="58">
        <f>C159*0.75</f>
        <v>4350</v>
      </c>
      <c r="N159" s="58">
        <f>D159*0.75</f>
        <v>1305</v>
      </c>
      <c r="O159" s="58">
        <f>E159*0.75</f>
        <v>2175</v>
      </c>
      <c r="P159" s="58">
        <f>F159*0.75</f>
        <v>3480</v>
      </c>
    </row>
    <row r="160" spans="1:16" x14ac:dyDescent="0.15">
      <c r="A160" s="53" t="s">
        <v>30</v>
      </c>
      <c r="B160" s="51" t="s">
        <v>2</v>
      </c>
      <c r="C160" s="52">
        <v>9400</v>
      </c>
      <c r="D160" s="58">
        <f t="shared" si="51"/>
        <v>2820</v>
      </c>
      <c r="E160" s="58">
        <f t="shared" si="52"/>
        <v>4700</v>
      </c>
      <c r="F160" s="58">
        <f t="shared" si="53"/>
        <v>7520</v>
      </c>
      <c r="H160" s="60"/>
      <c r="I160" s="60"/>
      <c r="J160" s="60"/>
      <c r="K160" s="60"/>
      <c r="M160" s="60"/>
      <c r="N160" s="60"/>
      <c r="O160" s="60"/>
      <c r="P160" s="60"/>
    </row>
    <row r="161" spans="1:16" x14ac:dyDescent="0.15">
      <c r="A161" s="54"/>
      <c r="B161" s="51" t="s">
        <v>3</v>
      </c>
      <c r="C161" s="52">
        <v>6100</v>
      </c>
      <c r="D161" s="58">
        <f t="shared" si="51"/>
        <v>1830</v>
      </c>
      <c r="E161" s="58">
        <f t="shared" si="52"/>
        <v>3050</v>
      </c>
      <c r="F161" s="58">
        <f t="shared" si="53"/>
        <v>4880</v>
      </c>
      <c r="H161" s="60"/>
      <c r="I161" s="60"/>
      <c r="J161" s="60"/>
      <c r="K161" s="60"/>
      <c r="M161" s="60"/>
      <c r="N161" s="60"/>
      <c r="O161" s="60"/>
      <c r="P161" s="60"/>
    </row>
    <row r="163" spans="1:16" x14ac:dyDescent="0.15">
      <c r="A163" s="55" t="s">
        <v>200</v>
      </c>
      <c r="B163" s="56"/>
      <c r="C163" s="58" t="s">
        <v>69</v>
      </c>
      <c r="D163" s="57" t="s">
        <v>75</v>
      </c>
      <c r="E163" s="58" t="s">
        <v>76</v>
      </c>
      <c r="F163" s="58" t="s">
        <v>77</v>
      </c>
      <c r="H163" s="58" t="s">
        <v>69</v>
      </c>
      <c r="I163" s="58" t="s">
        <v>75</v>
      </c>
      <c r="J163" s="58" t="s">
        <v>76</v>
      </c>
      <c r="K163" s="58" t="s">
        <v>77</v>
      </c>
      <c r="M163" s="58" t="s">
        <v>69</v>
      </c>
      <c r="N163" s="58" t="s">
        <v>75</v>
      </c>
      <c r="O163" s="58" t="s">
        <v>76</v>
      </c>
      <c r="P163" s="58" t="s">
        <v>77</v>
      </c>
    </row>
    <row r="164" spans="1:16" x14ac:dyDescent="0.15">
      <c r="A164" s="53" t="s">
        <v>53</v>
      </c>
      <c r="B164" s="51" t="s">
        <v>2</v>
      </c>
      <c r="C164" s="59">
        <v>25000</v>
      </c>
      <c r="D164" s="58">
        <f t="shared" ref="D164:D169" si="54">C164*0.3</f>
        <v>7500</v>
      </c>
      <c r="E164" s="58">
        <f t="shared" ref="E164:E169" si="55">C164*0.5</f>
        <v>12500</v>
      </c>
      <c r="F164" s="58">
        <f t="shared" ref="F164:F169" si="56">C164*0.8</f>
        <v>20000</v>
      </c>
      <c r="H164" s="60"/>
      <c r="I164" s="60"/>
      <c r="J164" s="60"/>
      <c r="K164" s="60"/>
      <c r="M164" s="60"/>
      <c r="N164" s="60"/>
      <c r="O164" s="60"/>
      <c r="P164" s="60"/>
    </row>
    <row r="165" spans="1:16" x14ac:dyDescent="0.15">
      <c r="A165" s="54"/>
      <c r="B165" s="51" t="s">
        <v>3</v>
      </c>
      <c r="C165" s="52">
        <v>23500</v>
      </c>
      <c r="D165" s="58">
        <f t="shared" si="54"/>
        <v>7050</v>
      </c>
      <c r="E165" s="58">
        <f t="shared" si="55"/>
        <v>11750</v>
      </c>
      <c r="F165" s="58">
        <f t="shared" si="56"/>
        <v>18800</v>
      </c>
      <c r="H165" s="58">
        <f>C165*0.5</f>
        <v>11750</v>
      </c>
      <c r="I165" s="58">
        <f>D165*0.5</f>
        <v>3525</v>
      </c>
      <c r="J165" s="58">
        <f>E165*0.5</f>
        <v>5875</v>
      </c>
      <c r="K165" s="58">
        <f>F165*0.5</f>
        <v>9400</v>
      </c>
      <c r="M165" s="58">
        <f>C165*0.75</f>
        <v>17625</v>
      </c>
      <c r="N165" s="58">
        <f>D165*0.75</f>
        <v>5287.5</v>
      </c>
      <c r="O165" s="58">
        <f>E165*0.75</f>
        <v>8812.5</v>
      </c>
      <c r="P165" s="58">
        <f>F165*0.75</f>
        <v>14100</v>
      </c>
    </row>
    <row r="166" spans="1:16" x14ac:dyDescent="0.15">
      <c r="A166" s="53" t="s">
        <v>70</v>
      </c>
      <c r="B166" s="51" t="s">
        <v>2</v>
      </c>
      <c r="C166" s="52">
        <v>7400</v>
      </c>
      <c r="D166" s="58">
        <f t="shared" si="54"/>
        <v>2220</v>
      </c>
      <c r="E166" s="58">
        <f t="shared" si="55"/>
        <v>3700</v>
      </c>
      <c r="F166" s="58">
        <f t="shared" si="56"/>
        <v>5920</v>
      </c>
      <c r="H166" s="60"/>
      <c r="I166" s="60"/>
      <c r="J166" s="60"/>
      <c r="K166" s="60"/>
      <c r="M166" s="60"/>
      <c r="N166" s="60"/>
      <c r="O166" s="60"/>
      <c r="P166" s="60"/>
    </row>
    <row r="167" spans="1:16" x14ac:dyDescent="0.15">
      <c r="A167" s="54"/>
      <c r="B167" s="51" t="s">
        <v>3</v>
      </c>
      <c r="C167" s="52">
        <v>5800</v>
      </c>
      <c r="D167" s="58">
        <f t="shared" si="54"/>
        <v>1740</v>
      </c>
      <c r="E167" s="58">
        <f t="shared" si="55"/>
        <v>2900</v>
      </c>
      <c r="F167" s="58">
        <f t="shared" si="56"/>
        <v>4640</v>
      </c>
      <c r="H167" s="58">
        <f>C167*0.5</f>
        <v>2900</v>
      </c>
      <c r="I167" s="58">
        <f>D167*0.5</f>
        <v>870</v>
      </c>
      <c r="J167" s="58">
        <f>E167*0.5</f>
        <v>1450</v>
      </c>
      <c r="K167" s="58">
        <f>F167*0.5</f>
        <v>2320</v>
      </c>
      <c r="M167" s="58">
        <f>C167*0.75</f>
        <v>4350</v>
      </c>
      <c r="N167" s="58">
        <f>D167*0.75</f>
        <v>1305</v>
      </c>
      <c r="O167" s="58">
        <f>E167*0.75</f>
        <v>2175</v>
      </c>
      <c r="P167" s="58">
        <f>F167*0.75</f>
        <v>3480</v>
      </c>
    </row>
    <row r="168" spans="1:16" x14ac:dyDescent="0.15">
      <c r="A168" s="53" t="s">
        <v>30</v>
      </c>
      <c r="B168" s="51" t="s">
        <v>2</v>
      </c>
      <c r="C168" s="52">
        <v>9400</v>
      </c>
      <c r="D168" s="58">
        <f t="shared" si="54"/>
        <v>2820</v>
      </c>
      <c r="E168" s="58">
        <f t="shared" si="55"/>
        <v>4700</v>
      </c>
      <c r="F168" s="58">
        <f t="shared" si="56"/>
        <v>7520</v>
      </c>
      <c r="H168" s="60"/>
      <c r="I168" s="60"/>
      <c r="J168" s="60"/>
      <c r="K168" s="60"/>
      <c r="M168" s="60"/>
      <c r="N168" s="60"/>
      <c r="O168" s="60"/>
      <c r="P168" s="60"/>
    </row>
    <row r="169" spans="1:16" x14ac:dyDescent="0.15">
      <c r="A169" s="54"/>
      <c r="B169" s="51" t="s">
        <v>3</v>
      </c>
      <c r="C169" s="52">
        <v>6100</v>
      </c>
      <c r="D169" s="58">
        <f t="shared" si="54"/>
        <v>1830</v>
      </c>
      <c r="E169" s="58">
        <f t="shared" si="55"/>
        <v>3050</v>
      </c>
      <c r="F169" s="58">
        <f t="shared" si="56"/>
        <v>4880</v>
      </c>
      <c r="H169" s="60"/>
      <c r="I169" s="60"/>
      <c r="J169" s="60"/>
      <c r="K169" s="60"/>
      <c r="M169" s="60"/>
      <c r="N169" s="60"/>
      <c r="O169" s="60"/>
      <c r="P169" s="60"/>
    </row>
  </sheetData>
  <sheetProtection password="CC2D" sheet="1" objects="1" scenarios="1"/>
  <phoneticPr fontId="2"/>
  <dataValidations disablePrompts="1" count="1">
    <dataValidation type="whole" imeMode="off" operator="greaterThanOrEqual" allowBlank="1" showInputMessage="1" showErrorMessage="1" sqref="C5:C10 C13:C18 C23:C28 C31:C36 C41:C46 C49:C54 C59:C64 C67:C72 C77:C82 C85:C90 C95:C100 C103:C108 C113:C118 C121:C126 C130:C135 C139:C144 C148:C153 C156:C161 C164:C169">
      <formula1>0</formula1>
    </dataValidation>
  </dataValidations>
  <pageMargins left="0.7" right="0.7" top="0.75" bottom="0.75" header="0.3" footer="0.3"/>
  <pageSetup paperSize="9" scale="9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計算</vt:lpstr>
      <vt:lpstr>税率・条件</vt:lpstr>
      <vt:lpstr>Sheet1</vt:lpstr>
      <vt:lpstr>計算!Print_Area</vt:lpstr>
      <vt:lpstr>入力!Print_Area</vt:lpstr>
      <vt:lpstr>高崎市全体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takasaki</cp:lastModifiedBy>
  <cp:lastPrinted>2024-04-23T07:24:29Z</cp:lastPrinted>
  <dcterms:created xsi:type="dcterms:W3CDTF">2005-08-16T09:48:45Z</dcterms:created>
  <dcterms:modified xsi:type="dcterms:W3CDTF">2024-05-16T07:03:25Z</dcterms:modified>
</cp:coreProperties>
</file>