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D:\"/>
    </mc:Choice>
  </mc:AlternateContent>
  <xr:revisionPtr revIDLastSave="0" documentId="13_ncr:1_{DA3A1617-0DBD-4D3A-9688-32BF43508CF2}" xr6:coauthVersionLast="47" xr6:coauthVersionMax="47" xr10:uidLastSave="{00000000-0000-0000-0000-000000000000}"/>
  <bookViews>
    <workbookView xWindow="-60" yWindow="-60" windowWidth="28920" windowHeight="15720" xr2:uid="{00000000-000D-0000-FFFF-FFFF00000000}"/>
  </bookViews>
  <sheets>
    <sheet name="入力" sheetId="3" r:id="rId1"/>
    <sheet name="計算" sheetId="4" state="hidden" r:id="rId2"/>
    <sheet name="税率・条件" sheetId="2" state="hidden" r:id="rId3"/>
    <sheet name="Sheet1" sheetId="6" state="hidden" r:id="rId4"/>
  </sheets>
  <definedNames>
    <definedName name="_xlnm.Print_Area" localSheetId="1">計算!$A$1:$BB$95</definedName>
    <definedName name="高崎市全体">入力!$C$15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 l="1"/>
  <c r="F218" i="6"/>
  <c r="E218" i="6"/>
  <c r="D218" i="6"/>
  <c r="F217" i="6"/>
  <c r="E217" i="6"/>
  <c r="D217" i="6"/>
  <c r="F216" i="6"/>
  <c r="E216" i="6"/>
  <c r="D216" i="6"/>
  <c r="F215" i="6"/>
  <c r="E215" i="6"/>
  <c r="D215" i="6"/>
  <c r="P214" i="6"/>
  <c r="O214" i="6"/>
  <c r="N214" i="6"/>
  <c r="M214" i="6"/>
  <c r="K214" i="6"/>
  <c r="J214" i="6"/>
  <c r="I214" i="6"/>
  <c r="H214" i="6"/>
  <c r="F214" i="6"/>
  <c r="E214" i="6"/>
  <c r="D214" i="6"/>
  <c r="F213" i="6"/>
  <c r="E213" i="6"/>
  <c r="D213" i="6"/>
  <c r="P212" i="6"/>
  <c r="O212" i="6"/>
  <c r="N212" i="6"/>
  <c r="M212" i="6"/>
  <c r="K212" i="6"/>
  <c r="J212" i="6"/>
  <c r="I212" i="6"/>
  <c r="H212" i="6"/>
  <c r="F212" i="6"/>
  <c r="E212" i="6"/>
  <c r="D212" i="6"/>
  <c r="F211" i="6"/>
  <c r="E211" i="6"/>
  <c r="D211" i="6"/>
  <c r="F207" i="6"/>
  <c r="E207" i="6"/>
  <c r="D207" i="6"/>
  <c r="F206" i="6"/>
  <c r="E206" i="6"/>
  <c r="D206" i="6"/>
  <c r="P205" i="6"/>
  <c r="N205" i="6"/>
  <c r="M205" i="6"/>
  <c r="K205" i="6"/>
  <c r="J205" i="6"/>
  <c r="I205" i="6"/>
  <c r="H205" i="6"/>
  <c r="F205" i="6"/>
  <c r="E205" i="6"/>
  <c r="O205" i="6" s="1"/>
  <c r="D205" i="6"/>
  <c r="F204" i="6"/>
  <c r="E204" i="6"/>
  <c r="D204" i="6"/>
  <c r="P203" i="6"/>
  <c r="O203" i="6"/>
  <c r="M203" i="6"/>
  <c r="K203" i="6"/>
  <c r="J203" i="6"/>
  <c r="I203" i="6"/>
  <c r="H203" i="6"/>
  <c r="F203" i="6"/>
  <c r="E203" i="6"/>
  <c r="D203" i="6"/>
  <c r="N203" i="6" s="1"/>
  <c r="F202" i="6"/>
  <c r="E202" i="6"/>
  <c r="D202" i="6"/>
  <c r="F198" i="6"/>
  <c r="E198" i="6"/>
  <c r="D198" i="6"/>
  <c r="F197" i="6"/>
  <c r="E197" i="6"/>
  <c r="D197" i="6"/>
  <c r="M196" i="6"/>
  <c r="K196" i="6"/>
  <c r="H196" i="6"/>
  <c r="F196" i="6"/>
  <c r="P196" i="6" s="1"/>
  <c r="E196" i="6"/>
  <c r="J196" i="6" s="1"/>
  <c r="D196" i="6"/>
  <c r="I196" i="6" s="1"/>
  <c r="F195" i="6"/>
  <c r="E195" i="6"/>
  <c r="D195" i="6"/>
  <c r="O194" i="6"/>
  <c r="N194" i="6"/>
  <c r="M194" i="6"/>
  <c r="J194" i="6"/>
  <c r="I194" i="6"/>
  <c r="H194" i="6"/>
  <c r="F194" i="6"/>
  <c r="K194" i="6" s="1"/>
  <c r="E194" i="6"/>
  <c r="D194" i="6"/>
  <c r="F193" i="6"/>
  <c r="E193" i="6"/>
  <c r="D193" i="6"/>
  <c r="F189" i="6"/>
  <c r="E189" i="6"/>
  <c r="D189" i="6"/>
  <c r="F188" i="6"/>
  <c r="E188" i="6"/>
  <c r="D188" i="6"/>
  <c r="P187" i="6"/>
  <c r="M187" i="6"/>
  <c r="I187" i="6"/>
  <c r="H187" i="6"/>
  <c r="F187" i="6"/>
  <c r="K187" i="6" s="1"/>
  <c r="E187" i="6"/>
  <c r="O187" i="6" s="1"/>
  <c r="D187" i="6"/>
  <c r="N187" i="6" s="1"/>
  <c r="F186" i="6"/>
  <c r="E186" i="6"/>
  <c r="D186" i="6"/>
  <c r="M185" i="6"/>
  <c r="H185" i="6"/>
  <c r="F185" i="6"/>
  <c r="E185" i="6"/>
  <c r="J185" i="6" s="1"/>
  <c r="D185" i="6"/>
  <c r="I185" i="6" s="1"/>
  <c r="F184" i="6"/>
  <c r="E184" i="6"/>
  <c r="D184" i="6"/>
  <c r="F180" i="6"/>
  <c r="E180" i="6"/>
  <c r="D180" i="6"/>
  <c r="F179" i="6"/>
  <c r="E179" i="6"/>
  <c r="D179" i="6"/>
  <c r="P178" i="6"/>
  <c r="O178" i="6"/>
  <c r="N178" i="6"/>
  <c r="M178" i="6"/>
  <c r="J178" i="6"/>
  <c r="H178" i="6"/>
  <c r="F178" i="6"/>
  <c r="K178" i="6" s="1"/>
  <c r="E178" i="6"/>
  <c r="D178" i="6"/>
  <c r="I178" i="6" s="1"/>
  <c r="F177" i="6"/>
  <c r="E177" i="6"/>
  <c r="D177" i="6"/>
  <c r="P176" i="6"/>
  <c r="M176" i="6"/>
  <c r="I176" i="6"/>
  <c r="H176" i="6"/>
  <c r="F176" i="6"/>
  <c r="K176" i="6" s="1"/>
  <c r="E176" i="6"/>
  <c r="O176" i="6" s="1"/>
  <c r="D176" i="6"/>
  <c r="N176" i="6" s="1"/>
  <c r="F175" i="6"/>
  <c r="E175" i="6"/>
  <c r="D175" i="6"/>
  <c r="F171" i="6"/>
  <c r="E171" i="6"/>
  <c r="D171" i="6"/>
  <c r="F170" i="6"/>
  <c r="E170" i="6"/>
  <c r="D170" i="6"/>
  <c r="P169" i="6"/>
  <c r="O169" i="6"/>
  <c r="M169" i="6"/>
  <c r="K169" i="6"/>
  <c r="H169" i="6"/>
  <c r="F169" i="6"/>
  <c r="E169" i="6"/>
  <c r="J169" i="6" s="1"/>
  <c r="D169" i="6"/>
  <c r="F168" i="6"/>
  <c r="E168" i="6"/>
  <c r="D168" i="6"/>
  <c r="O167" i="6"/>
  <c r="N167" i="6"/>
  <c r="M167" i="6"/>
  <c r="J167" i="6"/>
  <c r="H167" i="6"/>
  <c r="F167" i="6"/>
  <c r="K167" i="6" s="1"/>
  <c r="E167" i="6"/>
  <c r="D167" i="6"/>
  <c r="I167" i="6" s="1"/>
  <c r="F166" i="6"/>
  <c r="E166" i="6"/>
  <c r="D166" i="6"/>
  <c r="F162" i="6"/>
  <c r="E162" i="6"/>
  <c r="D162" i="6"/>
  <c r="F161" i="6"/>
  <c r="E161" i="6"/>
  <c r="D161" i="6"/>
  <c r="P160" i="6"/>
  <c r="M160" i="6"/>
  <c r="K160" i="6"/>
  <c r="J160" i="6"/>
  <c r="I160" i="6"/>
  <c r="H160" i="6"/>
  <c r="F160" i="6"/>
  <c r="E160" i="6"/>
  <c r="O160" i="6" s="1"/>
  <c r="D160" i="6"/>
  <c r="N160" i="6" s="1"/>
  <c r="F159" i="6"/>
  <c r="E159" i="6"/>
  <c r="D159" i="6"/>
  <c r="O158" i="6"/>
  <c r="M158" i="6"/>
  <c r="K158" i="6"/>
  <c r="H158" i="6"/>
  <c r="F158" i="6"/>
  <c r="P158" i="6" s="1"/>
  <c r="E158" i="6"/>
  <c r="J158" i="6" s="1"/>
  <c r="D158" i="6"/>
  <c r="I158" i="6" s="1"/>
  <c r="F157" i="6"/>
  <c r="E157" i="6"/>
  <c r="D157" i="6"/>
  <c r="F153" i="6"/>
  <c r="E153" i="6"/>
  <c r="D153" i="6"/>
  <c r="F152" i="6"/>
  <c r="E152" i="6"/>
  <c r="D152" i="6"/>
  <c r="O151" i="6"/>
  <c r="N151" i="6"/>
  <c r="M151" i="6"/>
  <c r="J151" i="6"/>
  <c r="I151" i="6"/>
  <c r="H151" i="6"/>
  <c r="F151" i="6"/>
  <c r="K151" i="6" s="1"/>
  <c r="E151" i="6"/>
  <c r="D151" i="6"/>
  <c r="F150" i="6"/>
  <c r="E150" i="6"/>
  <c r="D150" i="6"/>
  <c r="P149" i="6"/>
  <c r="M149" i="6"/>
  <c r="K149" i="6"/>
  <c r="J149" i="6"/>
  <c r="I149" i="6"/>
  <c r="H149" i="6"/>
  <c r="F149" i="6"/>
  <c r="E149" i="6"/>
  <c r="O149" i="6" s="1"/>
  <c r="D149" i="6"/>
  <c r="N149" i="6" s="1"/>
  <c r="F148" i="6"/>
  <c r="E148" i="6"/>
  <c r="D148" i="6"/>
  <c r="F144" i="6"/>
  <c r="E144" i="6"/>
  <c r="D144" i="6"/>
  <c r="F143" i="6"/>
  <c r="E143" i="6"/>
  <c r="D143" i="6"/>
  <c r="M142" i="6"/>
  <c r="H142" i="6"/>
  <c r="F142" i="6"/>
  <c r="E142" i="6"/>
  <c r="J142" i="6" s="1"/>
  <c r="D142" i="6"/>
  <c r="I142" i="6" s="1"/>
  <c r="F141" i="6"/>
  <c r="E141" i="6"/>
  <c r="D141" i="6"/>
  <c r="O140" i="6"/>
  <c r="N140" i="6"/>
  <c r="M140" i="6"/>
  <c r="J140" i="6"/>
  <c r="I140" i="6"/>
  <c r="H140" i="6"/>
  <c r="F140" i="6"/>
  <c r="K140" i="6" s="1"/>
  <c r="E140" i="6"/>
  <c r="D140" i="6"/>
  <c r="F139" i="6"/>
  <c r="E139" i="6"/>
  <c r="D139" i="6"/>
  <c r="F135" i="6"/>
  <c r="E135" i="6"/>
  <c r="D135" i="6"/>
  <c r="F134" i="6"/>
  <c r="E134" i="6"/>
  <c r="D134" i="6"/>
  <c r="P133" i="6"/>
  <c r="M133" i="6"/>
  <c r="H133" i="6"/>
  <c r="F133" i="6"/>
  <c r="K133" i="6" s="1"/>
  <c r="E133" i="6"/>
  <c r="O133" i="6" s="1"/>
  <c r="D133" i="6"/>
  <c r="N133" i="6" s="1"/>
  <c r="F132" i="6"/>
  <c r="E132" i="6"/>
  <c r="D132" i="6"/>
  <c r="M131" i="6"/>
  <c r="H131" i="6"/>
  <c r="F131" i="6"/>
  <c r="E131" i="6"/>
  <c r="J131" i="6" s="1"/>
  <c r="D131" i="6"/>
  <c r="I131" i="6" s="1"/>
  <c r="F130" i="6"/>
  <c r="E130" i="6"/>
  <c r="D130" i="6"/>
  <c r="F126" i="6"/>
  <c r="E126" i="6"/>
  <c r="D126" i="6"/>
  <c r="F125" i="6"/>
  <c r="E125" i="6"/>
  <c r="D125" i="6"/>
  <c r="P124" i="6"/>
  <c r="O124" i="6"/>
  <c r="N124" i="6"/>
  <c r="M124" i="6"/>
  <c r="J124" i="6"/>
  <c r="H124" i="6"/>
  <c r="F124" i="6"/>
  <c r="K124" i="6" s="1"/>
  <c r="E124" i="6"/>
  <c r="D124" i="6"/>
  <c r="I124" i="6" s="1"/>
  <c r="F123" i="6"/>
  <c r="E123" i="6"/>
  <c r="D123" i="6"/>
  <c r="P122" i="6"/>
  <c r="M122" i="6"/>
  <c r="H122" i="6"/>
  <c r="F122" i="6"/>
  <c r="K122" i="6" s="1"/>
  <c r="E122" i="6"/>
  <c r="O122" i="6" s="1"/>
  <c r="D122" i="6"/>
  <c r="N122" i="6" s="1"/>
  <c r="F121" i="6"/>
  <c r="E121" i="6"/>
  <c r="D121" i="6"/>
  <c r="F118" i="6"/>
  <c r="E118" i="6"/>
  <c r="D118" i="6"/>
  <c r="F117" i="6"/>
  <c r="E117" i="6"/>
  <c r="D117" i="6"/>
  <c r="O116" i="6"/>
  <c r="M116" i="6"/>
  <c r="K116" i="6"/>
  <c r="H116" i="6"/>
  <c r="F116" i="6"/>
  <c r="P116" i="6" s="1"/>
  <c r="E116" i="6"/>
  <c r="J116" i="6" s="1"/>
  <c r="D116" i="6"/>
  <c r="F115" i="6"/>
  <c r="E115" i="6"/>
  <c r="D115" i="6"/>
  <c r="O114" i="6"/>
  <c r="N114" i="6"/>
  <c r="M114" i="6"/>
  <c r="J114" i="6"/>
  <c r="H114" i="6"/>
  <c r="F114" i="6"/>
  <c r="K114" i="6" s="1"/>
  <c r="E114" i="6"/>
  <c r="D114" i="6"/>
  <c r="I114" i="6" s="1"/>
  <c r="F113" i="6"/>
  <c r="E113" i="6"/>
  <c r="D113" i="6"/>
  <c r="F108" i="6"/>
  <c r="E108" i="6"/>
  <c r="D108" i="6"/>
  <c r="F107" i="6"/>
  <c r="E107" i="6"/>
  <c r="D107" i="6"/>
  <c r="P106" i="6"/>
  <c r="M106" i="6"/>
  <c r="K106" i="6"/>
  <c r="J106" i="6"/>
  <c r="I106" i="6"/>
  <c r="H106" i="6"/>
  <c r="F106" i="6"/>
  <c r="E106" i="6"/>
  <c r="O106" i="6" s="1"/>
  <c r="D106" i="6"/>
  <c r="N106" i="6" s="1"/>
  <c r="F105" i="6"/>
  <c r="E105" i="6"/>
  <c r="D105" i="6"/>
  <c r="N104" i="6"/>
  <c r="M104" i="6"/>
  <c r="K104" i="6"/>
  <c r="H104" i="6"/>
  <c r="F104" i="6"/>
  <c r="P104" i="6" s="1"/>
  <c r="E104" i="6"/>
  <c r="O104" i="6" s="1"/>
  <c r="D104" i="6"/>
  <c r="I104" i="6" s="1"/>
  <c r="F103" i="6"/>
  <c r="E103" i="6"/>
  <c r="D103" i="6"/>
  <c r="F100" i="6"/>
  <c r="E100" i="6"/>
  <c r="D100" i="6"/>
  <c r="F99" i="6"/>
  <c r="E99" i="6"/>
  <c r="D99" i="6"/>
  <c r="N98" i="6"/>
  <c r="M98" i="6"/>
  <c r="J98" i="6"/>
  <c r="I98" i="6"/>
  <c r="H98" i="6"/>
  <c r="F98" i="6"/>
  <c r="K98" i="6" s="1"/>
  <c r="E98" i="6"/>
  <c r="O98" i="6" s="1"/>
  <c r="D98" i="6"/>
  <c r="F97" i="6"/>
  <c r="E97" i="6"/>
  <c r="D97" i="6"/>
  <c r="P96" i="6"/>
  <c r="M96" i="6"/>
  <c r="K96" i="6"/>
  <c r="J96" i="6"/>
  <c r="I96" i="6"/>
  <c r="H96" i="6"/>
  <c r="F96" i="6"/>
  <c r="E96" i="6"/>
  <c r="O96" i="6" s="1"/>
  <c r="D96" i="6"/>
  <c r="N96" i="6" s="1"/>
  <c r="F95" i="6"/>
  <c r="E95" i="6"/>
  <c r="D95" i="6"/>
  <c r="F90" i="6"/>
  <c r="E90" i="6"/>
  <c r="D90" i="6"/>
  <c r="F89" i="6"/>
  <c r="E89" i="6"/>
  <c r="D89" i="6"/>
  <c r="M88" i="6"/>
  <c r="H88" i="6"/>
  <c r="F88" i="6"/>
  <c r="P88" i="6" s="1"/>
  <c r="E88" i="6"/>
  <c r="J88" i="6" s="1"/>
  <c r="D88" i="6"/>
  <c r="I88" i="6" s="1"/>
  <c r="F87" i="6"/>
  <c r="E87" i="6"/>
  <c r="D87" i="6"/>
  <c r="N86" i="6"/>
  <c r="M86" i="6"/>
  <c r="I86" i="6"/>
  <c r="H86" i="6"/>
  <c r="F86" i="6"/>
  <c r="K86" i="6" s="1"/>
  <c r="E86" i="6"/>
  <c r="J86" i="6" s="1"/>
  <c r="D86" i="6"/>
  <c r="F85" i="6"/>
  <c r="E85" i="6"/>
  <c r="D85" i="6"/>
  <c r="F82" i="6"/>
  <c r="E82" i="6"/>
  <c r="D82" i="6"/>
  <c r="F81" i="6"/>
  <c r="E81" i="6"/>
  <c r="D81" i="6"/>
  <c r="P80" i="6"/>
  <c r="M80" i="6"/>
  <c r="I80" i="6"/>
  <c r="H80" i="6"/>
  <c r="F80" i="6"/>
  <c r="K80" i="6" s="1"/>
  <c r="E80" i="6"/>
  <c r="O80" i="6" s="1"/>
  <c r="D80" i="6"/>
  <c r="N80" i="6" s="1"/>
  <c r="F79" i="6"/>
  <c r="E79" i="6"/>
  <c r="D79" i="6"/>
  <c r="M78" i="6"/>
  <c r="K78" i="6"/>
  <c r="H78" i="6"/>
  <c r="F78" i="6"/>
  <c r="P78" i="6" s="1"/>
  <c r="E78" i="6"/>
  <c r="J78" i="6" s="1"/>
  <c r="D78" i="6"/>
  <c r="I78" i="6" s="1"/>
  <c r="F77" i="6"/>
  <c r="E77" i="6"/>
  <c r="D77" i="6"/>
  <c r="F72" i="6"/>
  <c r="E72" i="6"/>
  <c r="D72" i="6"/>
  <c r="F71" i="6"/>
  <c r="E71" i="6"/>
  <c r="D71" i="6"/>
  <c r="N70" i="6"/>
  <c r="M70" i="6"/>
  <c r="H70" i="6"/>
  <c r="F70" i="6"/>
  <c r="E70" i="6"/>
  <c r="O70" i="6" s="1"/>
  <c r="D70" i="6"/>
  <c r="I70" i="6" s="1"/>
  <c r="F69" i="6"/>
  <c r="E69" i="6"/>
  <c r="D69" i="6"/>
  <c r="P68" i="6"/>
  <c r="O68" i="6"/>
  <c r="M68" i="6"/>
  <c r="I68" i="6"/>
  <c r="H68" i="6"/>
  <c r="F68" i="6"/>
  <c r="K68" i="6" s="1"/>
  <c r="E68" i="6"/>
  <c r="J68" i="6" s="1"/>
  <c r="D68" i="6"/>
  <c r="N68" i="6" s="1"/>
  <c r="F67" i="6"/>
  <c r="E67" i="6"/>
  <c r="D67" i="6"/>
  <c r="F64" i="6"/>
  <c r="E64" i="6"/>
  <c r="D64" i="6"/>
  <c r="F63" i="6"/>
  <c r="E63" i="6"/>
  <c r="D63" i="6"/>
  <c r="N62" i="6"/>
  <c r="M62" i="6"/>
  <c r="K62" i="6"/>
  <c r="J62" i="6"/>
  <c r="H62" i="6"/>
  <c r="F62" i="6"/>
  <c r="P62" i="6" s="1"/>
  <c r="E62" i="6"/>
  <c r="O62" i="6" s="1"/>
  <c r="D62" i="6"/>
  <c r="I62" i="6" s="1"/>
  <c r="F61" i="6"/>
  <c r="E61" i="6"/>
  <c r="D61" i="6"/>
  <c r="N60" i="6"/>
  <c r="M60" i="6"/>
  <c r="H60" i="6"/>
  <c r="F60" i="6"/>
  <c r="K60" i="6" s="1"/>
  <c r="E60" i="6"/>
  <c r="O60" i="6" s="1"/>
  <c r="D60" i="6"/>
  <c r="I60" i="6" s="1"/>
  <c r="F59" i="6"/>
  <c r="E59" i="6"/>
  <c r="D59" i="6"/>
  <c r="F54" i="6"/>
  <c r="E54" i="6"/>
  <c r="D54" i="6"/>
  <c r="F53" i="6"/>
  <c r="E53" i="6"/>
  <c r="D53" i="6"/>
  <c r="P52" i="6"/>
  <c r="M52" i="6"/>
  <c r="K52" i="6"/>
  <c r="I52" i="6"/>
  <c r="H52" i="6"/>
  <c r="F52" i="6"/>
  <c r="E52" i="6"/>
  <c r="O52" i="6" s="1"/>
  <c r="D52" i="6"/>
  <c r="N52" i="6" s="1"/>
  <c r="F51" i="6"/>
  <c r="E51" i="6"/>
  <c r="D51" i="6"/>
  <c r="M50" i="6"/>
  <c r="K50" i="6"/>
  <c r="J50" i="6"/>
  <c r="H50" i="6"/>
  <c r="F50" i="6"/>
  <c r="P50" i="6" s="1"/>
  <c r="E50" i="6"/>
  <c r="O50" i="6" s="1"/>
  <c r="D50" i="6"/>
  <c r="I50" i="6" s="1"/>
  <c r="F49" i="6"/>
  <c r="E49" i="6"/>
  <c r="D49" i="6"/>
  <c r="F46" i="6"/>
  <c r="E46" i="6"/>
  <c r="D46" i="6"/>
  <c r="F45" i="6"/>
  <c r="E45" i="6"/>
  <c r="D45" i="6"/>
  <c r="N44" i="6"/>
  <c r="M44" i="6"/>
  <c r="I44" i="6"/>
  <c r="H44" i="6"/>
  <c r="F44" i="6"/>
  <c r="K44" i="6" s="1"/>
  <c r="E44" i="6"/>
  <c r="J44" i="6" s="1"/>
  <c r="D44" i="6"/>
  <c r="F43" i="6"/>
  <c r="E43" i="6"/>
  <c r="D43" i="6"/>
  <c r="P42" i="6"/>
  <c r="M42" i="6"/>
  <c r="K42" i="6"/>
  <c r="I42" i="6"/>
  <c r="H42" i="6"/>
  <c r="F42" i="6"/>
  <c r="E42" i="6"/>
  <c r="O42" i="6" s="1"/>
  <c r="D42" i="6"/>
  <c r="N42" i="6" s="1"/>
  <c r="F41" i="6"/>
  <c r="E41" i="6"/>
  <c r="D41" i="6"/>
  <c r="F36" i="6"/>
  <c r="E36" i="6"/>
  <c r="D36" i="6"/>
  <c r="F35" i="6"/>
  <c r="E35" i="6"/>
  <c r="D35" i="6"/>
  <c r="M34" i="6"/>
  <c r="H34" i="6"/>
  <c r="F34" i="6"/>
  <c r="E34" i="6"/>
  <c r="J34" i="6" s="1"/>
  <c r="D34" i="6"/>
  <c r="I34" i="6" s="1"/>
  <c r="F33" i="6"/>
  <c r="E33" i="6"/>
  <c r="D33" i="6"/>
  <c r="N32" i="6"/>
  <c r="M32" i="6"/>
  <c r="I32" i="6"/>
  <c r="H32" i="6"/>
  <c r="F32" i="6"/>
  <c r="K32" i="6" s="1"/>
  <c r="E32" i="6"/>
  <c r="J32" i="6" s="1"/>
  <c r="D32" i="6"/>
  <c r="F31" i="6"/>
  <c r="E31" i="6"/>
  <c r="D31" i="6"/>
  <c r="F28" i="6"/>
  <c r="E28" i="6"/>
  <c r="D28" i="6"/>
  <c r="F27" i="6"/>
  <c r="E27" i="6"/>
  <c r="D27" i="6"/>
  <c r="P26" i="6"/>
  <c r="O26" i="6"/>
  <c r="M26" i="6"/>
  <c r="J26" i="6"/>
  <c r="H26" i="6"/>
  <c r="F26" i="6"/>
  <c r="K26" i="6" s="1"/>
  <c r="E26" i="6"/>
  <c r="D26" i="6"/>
  <c r="N26" i="6" s="1"/>
  <c r="F25" i="6"/>
  <c r="E25" i="6"/>
  <c r="D25" i="6"/>
  <c r="O24" i="6"/>
  <c r="M24" i="6"/>
  <c r="K24" i="6"/>
  <c r="J24" i="6"/>
  <c r="H24" i="6"/>
  <c r="F24" i="6"/>
  <c r="P24" i="6" s="1"/>
  <c r="E24" i="6"/>
  <c r="D24" i="6"/>
  <c r="I24" i="6" s="1"/>
  <c r="F23" i="6"/>
  <c r="E23" i="6"/>
  <c r="D23" i="6"/>
  <c r="F18" i="6"/>
  <c r="E18" i="6"/>
  <c r="D18" i="6"/>
  <c r="F17" i="6"/>
  <c r="E17" i="6"/>
  <c r="D17" i="6"/>
  <c r="P16" i="6"/>
  <c r="N16" i="6"/>
  <c r="M16" i="6"/>
  <c r="H16" i="6"/>
  <c r="F16" i="6"/>
  <c r="K16" i="6" s="1"/>
  <c r="E16" i="6"/>
  <c r="O16" i="6" s="1"/>
  <c r="D16" i="6"/>
  <c r="I16" i="6" s="1"/>
  <c r="F15" i="6"/>
  <c r="E15" i="6"/>
  <c r="D15" i="6"/>
  <c r="P14" i="6"/>
  <c r="O14" i="6"/>
  <c r="M14" i="6"/>
  <c r="J14" i="6"/>
  <c r="H14" i="6"/>
  <c r="F14" i="6"/>
  <c r="K14" i="6" s="1"/>
  <c r="E14" i="6"/>
  <c r="D14" i="6"/>
  <c r="N14" i="6" s="1"/>
  <c r="F13" i="6"/>
  <c r="E13" i="6"/>
  <c r="D13" i="6"/>
  <c r="F10" i="6"/>
  <c r="E10" i="6"/>
  <c r="D10" i="6"/>
  <c r="F9" i="6"/>
  <c r="E9" i="6"/>
  <c r="D9" i="6"/>
  <c r="M8" i="6"/>
  <c r="K8" i="6"/>
  <c r="J8" i="6"/>
  <c r="H8" i="6"/>
  <c r="F8" i="6"/>
  <c r="P8" i="6" s="1"/>
  <c r="E8" i="6"/>
  <c r="O8" i="6" s="1"/>
  <c r="D8" i="6"/>
  <c r="I8" i="6" s="1"/>
  <c r="F7" i="6"/>
  <c r="E7" i="6"/>
  <c r="D7" i="6"/>
  <c r="N6" i="6"/>
  <c r="M6" i="6"/>
  <c r="I6" i="6"/>
  <c r="H6" i="6"/>
  <c r="F6" i="6"/>
  <c r="E6" i="6"/>
  <c r="O6" i="6" s="1"/>
  <c r="D6" i="6"/>
  <c r="F5" i="6"/>
  <c r="E5" i="6"/>
  <c r="D5" i="6"/>
  <c r="X80" i="4"/>
  <c r="X66" i="4"/>
  <c r="L60" i="4"/>
  <c r="X52" i="4"/>
  <c r="X38" i="4"/>
  <c r="M33" i="4"/>
  <c r="M34" i="4" s="1"/>
  <c r="J30" i="4"/>
  <c r="I30" i="4"/>
  <c r="H30" i="4"/>
  <c r="G30" i="4"/>
  <c r="F30" i="4"/>
  <c r="E30" i="4"/>
  <c r="D30" i="4"/>
  <c r="C30" i="4"/>
  <c r="J29" i="4"/>
  <c r="I29" i="4"/>
  <c r="H29" i="4"/>
  <c r="G29" i="4"/>
  <c r="F29" i="4"/>
  <c r="E29" i="4"/>
  <c r="D29" i="4"/>
  <c r="C29" i="4"/>
  <c r="J28" i="4"/>
  <c r="I28" i="4"/>
  <c r="H28" i="4"/>
  <c r="G28" i="4"/>
  <c r="F28" i="4"/>
  <c r="E28" i="4"/>
  <c r="D28" i="4"/>
  <c r="C28" i="4"/>
  <c r="J27" i="4"/>
  <c r="I27" i="4"/>
  <c r="H27" i="4"/>
  <c r="G27" i="4"/>
  <c r="F27" i="4"/>
  <c r="E27" i="4"/>
  <c r="D27" i="4"/>
  <c r="C27" i="4"/>
  <c r="J26" i="4"/>
  <c r="I26" i="4"/>
  <c r="H26" i="4"/>
  <c r="G26" i="4"/>
  <c r="F26" i="4"/>
  <c r="E26" i="4"/>
  <c r="D26" i="4"/>
  <c r="C26" i="4"/>
  <c r="J25" i="4"/>
  <c r="I25" i="4"/>
  <c r="H25" i="4"/>
  <c r="G25" i="4"/>
  <c r="F25" i="4"/>
  <c r="E25" i="4"/>
  <c r="D25" i="4"/>
  <c r="C25" i="4"/>
  <c r="X23" i="4"/>
  <c r="P23" i="4"/>
  <c r="AU22" i="4"/>
  <c r="AO22" i="4"/>
  <c r="AQ21" i="4"/>
  <c r="BG17" i="4" s="1"/>
  <c r="BG39" i="4" s="1"/>
  <c r="BP20" i="4"/>
  <c r="BJ20" i="4"/>
  <c r="AU20" i="4"/>
  <c r="AO20" i="4"/>
  <c r="BE7" i="4" s="1"/>
  <c r="BO19" i="4"/>
  <c r="BI19" i="4"/>
  <c r="AZ19" i="4"/>
  <c r="AY19" i="4"/>
  <c r="AX19" i="4"/>
  <c r="AW19" i="4"/>
  <c r="AV19" i="4"/>
  <c r="AU19" i="4"/>
  <c r="AT19" i="4"/>
  <c r="AS19" i="4"/>
  <c r="AR19" i="4"/>
  <c r="AQ19" i="4"/>
  <c r="AP19" i="4"/>
  <c r="AO19" i="4"/>
  <c r="AN19" i="4"/>
  <c r="AZ18" i="4"/>
  <c r="AY18" i="4"/>
  <c r="AX18" i="4"/>
  <c r="AW18" i="4"/>
  <c r="AV18" i="4"/>
  <c r="AU18" i="4"/>
  <c r="AT18" i="4"/>
  <c r="AS18" i="4"/>
  <c r="AR18" i="4"/>
  <c r="AQ18" i="4"/>
  <c r="AP18" i="4"/>
  <c r="AO18" i="4"/>
  <c r="AN18" i="4"/>
  <c r="AJ18" i="4"/>
  <c r="U18" i="4"/>
  <c r="O18" i="4"/>
  <c r="N18" i="4"/>
  <c r="Q18" i="4" s="1"/>
  <c r="M18" i="4"/>
  <c r="I18" i="4"/>
  <c r="F18" i="4"/>
  <c r="D18" i="4"/>
  <c r="E18" i="4" s="1"/>
  <c r="C18" i="4"/>
  <c r="B18" i="4"/>
  <c r="Y33" i="4" s="1"/>
  <c r="Y48" i="4" s="1"/>
  <c r="Y62" i="4" s="1"/>
  <c r="Y76" i="4" s="1"/>
  <c r="Y90" i="4" s="1"/>
  <c r="AZ17" i="4"/>
  <c r="AY17" i="4"/>
  <c r="AX17" i="4"/>
  <c r="AW17" i="4"/>
  <c r="AV17" i="4"/>
  <c r="AU17" i="4"/>
  <c r="AT17" i="4"/>
  <c r="AS17" i="4"/>
  <c r="AR17" i="4"/>
  <c r="AQ17" i="4"/>
  <c r="AP17" i="4"/>
  <c r="AO17" i="4"/>
  <c r="AN17" i="4"/>
  <c r="BL16" i="4"/>
  <c r="BL38" i="4" s="1"/>
  <c r="BF16" i="4"/>
  <c r="BF38" i="4" s="1"/>
  <c r="AZ16" i="4"/>
  <c r="AY16" i="4"/>
  <c r="AX16" i="4"/>
  <c r="AW16" i="4"/>
  <c r="AV16" i="4"/>
  <c r="AU16" i="4"/>
  <c r="AT16" i="4"/>
  <c r="AS16" i="4"/>
  <c r="AR16" i="4"/>
  <c r="AQ16" i="4"/>
  <c r="AP16" i="4"/>
  <c r="AO16" i="4"/>
  <c r="AN16" i="4"/>
  <c r="AJ16" i="4"/>
  <c r="U16" i="4"/>
  <c r="S16" i="4"/>
  <c r="Q16" i="4"/>
  <c r="O16" i="4"/>
  <c r="N16" i="4"/>
  <c r="M16" i="4"/>
  <c r="I16" i="4"/>
  <c r="H16" i="4"/>
  <c r="D16" i="4"/>
  <c r="G16" i="4" s="1"/>
  <c r="C16" i="4"/>
  <c r="B16" i="4"/>
  <c r="Y32" i="4" s="1"/>
  <c r="Y47" i="4" s="1"/>
  <c r="Y61" i="4" s="1"/>
  <c r="Y75" i="4" s="1"/>
  <c r="Y89" i="4" s="1"/>
  <c r="BO15" i="4"/>
  <c r="AZ15" i="4"/>
  <c r="AY15" i="4"/>
  <c r="AX15" i="4"/>
  <c r="AW15" i="4"/>
  <c r="AV15" i="4"/>
  <c r="AU15" i="4"/>
  <c r="AT15" i="4"/>
  <c r="AS15" i="4"/>
  <c r="AR15" i="4"/>
  <c r="AQ15" i="4"/>
  <c r="AP15" i="4"/>
  <c r="AO15" i="4"/>
  <c r="AN15" i="4"/>
  <c r="BL14" i="4"/>
  <c r="BF14" i="4"/>
  <c r="AZ14" i="4"/>
  <c r="AY14" i="4"/>
  <c r="AX14" i="4"/>
  <c r="AW14" i="4"/>
  <c r="AV14" i="4"/>
  <c r="AU14" i="4"/>
  <c r="AT14" i="4"/>
  <c r="AS14" i="4"/>
  <c r="AR14" i="4"/>
  <c r="AQ14" i="4"/>
  <c r="AP14" i="4"/>
  <c r="AO14" i="4"/>
  <c r="AN14" i="4"/>
  <c r="AJ14" i="4"/>
  <c r="U14" i="4"/>
  <c r="O14" i="4"/>
  <c r="N14" i="4"/>
  <c r="Q14" i="4" s="1"/>
  <c r="M14" i="4"/>
  <c r="I14" i="4"/>
  <c r="H14" i="4"/>
  <c r="F14" i="4"/>
  <c r="D14" i="4"/>
  <c r="E14" i="4" s="1"/>
  <c r="C14" i="4"/>
  <c r="B14" i="4"/>
  <c r="Y31" i="4" s="1"/>
  <c r="Y46" i="4" s="1"/>
  <c r="Y60" i="4" s="1"/>
  <c r="Y74" i="4" s="1"/>
  <c r="Y88" i="4" s="1"/>
  <c r="AZ13" i="4"/>
  <c r="AY13" i="4"/>
  <c r="AX13" i="4"/>
  <c r="AW13" i="4"/>
  <c r="AV13" i="4"/>
  <c r="AU13" i="4"/>
  <c r="AT13" i="4"/>
  <c r="AS13" i="4"/>
  <c r="AR13" i="4"/>
  <c r="AQ13" i="4"/>
  <c r="AP13" i="4"/>
  <c r="AO13" i="4"/>
  <c r="AN13" i="4"/>
  <c r="AZ12" i="4"/>
  <c r="AY12" i="4"/>
  <c r="AX12" i="4"/>
  <c r="BN64" i="4" s="1"/>
  <c r="AI45" i="4" s="1"/>
  <c r="AW12" i="4"/>
  <c r="AV12" i="4"/>
  <c r="AU12" i="4"/>
  <c r="AT12" i="4"/>
  <c r="AS12" i="4"/>
  <c r="AR12" i="4"/>
  <c r="AQ12" i="4"/>
  <c r="AP12" i="4"/>
  <c r="BF63" i="4" s="1"/>
  <c r="AO12" i="4"/>
  <c r="AN12" i="4"/>
  <c r="AJ12" i="4"/>
  <c r="U12" i="4"/>
  <c r="O12" i="4"/>
  <c r="N12" i="4"/>
  <c r="S12" i="4" s="1"/>
  <c r="M12" i="4"/>
  <c r="I12" i="4"/>
  <c r="G12" i="4"/>
  <c r="D12" i="4"/>
  <c r="H12" i="4" s="1"/>
  <c r="C12" i="4"/>
  <c r="B12" i="4"/>
  <c r="Y30" i="4" s="1"/>
  <c r="Y45" i="4" s="1"/>
  <c r="Y59" i="4" s="1"/>
  <c r="Y73" i="4" s="1"/>
  <c r="Y87" i="4" s="1"/>
  <c r="BO11" i="4"/>
  <c r="BO33" i="4" s="1"/>
  <c r="BI11" i="4"/>
  <c r="BI33" i="4" s="1"/>
  <c r="AZ11" i="4"/>
  <c r="AY11" i="4"/>
  <c r="AX11" i="4"/>
  <c r="AW11" i="4"/>
  <c r="AV11" i="4"/>
  <c r="AU11" i="4"/>
  <c r="AT11" i="4"/>
  <c r="AS11" i="4"/>
  <c r="AR11" i="4"/>
  <c r="AQ11" i="4"/>
  <c r="AP11" i="4"/>
  <c r="AO11" i="4"/>
  <c r="AN11" i="4"/>
  <c r="BL10" i="4"/>
  <c r="BF10" i="4"/>
  <c r="AZ10" i="4"/>
  <c r="AY10" i="4"/>
  <c r="AX10" i="4"/>
  <c r="AW10" i="4"/>
  <c r="AV10" i="4"/>
  <c r="AU10" i="4"/>
  <c r="AT10" i="4"/>
  <c r="AS10" i="4"/>
  <c r="AR10" i="4"/>
  <c r="AQ10" i="4"/>
  <c r="BG21" i="4" s="1"/>
  <c r="BG43" i="4" s="1"/>
  <c r="AP10" i="4"/>
  <c r="BF61" i="4" s="1"/>
  <c r="AO10" i="4"/>
  <c r="AN10" i="4"/>
  <c r="AJ10" i="4"/>
  <c r="U10" i="4"/>
  <c r="O10" i="4"/>
  <c r="N10" i="4"/>
  <c r="Q10" i="4" s="1"/>
  <c r="M10" i="4"/>
  <c r="I10" i="4"/>
  <c r="D10" i="4"/>
  <c r="E10" i="4" s="1"/>
  <c r="C10" i="4"/>
  <c r="B10" i="4"/>
  <c r="Y29" i="4" s="1"/>
  <c r="Y44" i="4" s="1"/>
  <c r="Y58" i="4" s="1"/>
  <c r="Y72" i="4" s="1"/>
  <c r="Y86" i="4" s="1"/>
  <c r="BO9" i="4"/>
  <c r="BJ9" i="4"/>
  <c r="BI9" i="4"/>
  <c r="AZ9" i="4"/>
  <c r="AY9" i="4"/>
  <c r="AX9" i="4"/>
  <c r="AW9" i="4"/>
  <c r="AV9" i="4"/>
  <c r="AU9" i="4"/>
  <c r="AT9" i="4"/>
  <c r="AS9" i="4"/>
  <c r="AR9" i="4"/>
  <c r="AQ9" i="4"/>
  <c r="AP9" i="4"/>
  <c r="AO9" i="4"/>
  <c r="AN9" i="4"/>
  <c r="AZ8" i="4"/>
  <c r="AY8" i="4"/>
  <c r="AX8" i="4"/>
  <c r="AB18" i="3" s="1"/>
  <c r="AW8" i="4"/>
  <c r="AV8" i="4"/>
  <c r="AU8" i="4"/>
  <c r="AT8" i="4"/>
  <c r="AS8" i="4"/>
  <c r="BI60" i="4" s="1"/>
  <c r="AD43" i="4" s="1"/>
  <c r="AR8" i="4"/>
  <c r="AQ8" i="4"/>
  <c r="AP8" i="4"/>
  <c r="AO8" i="4"/>
  <c r="AN8" i="4"/>
  <c r="AK8" i="4"/>
  <c r="AJ8" i="4"/>
  <c r="V8" i="4"/>
  <c r="U8" i="4"/>
  <c r="O8" i="4"/>
  <c r="N8" i="4"/>
  <c r="S8" i="4" s="1"/>
  <c r="M8" i="4"/>
  <c r="I8" i="4"/>
  <c r="D8" i="4"/>
  <c r="H8" i="4" s="1"/>
  <c r="C8" i="4"/>
  <c r="B8" i="4"/>
  <c r="Y28" i="4" s="1"/>
  <c r="Y43" i="4" s="1"/>
  <c r="Y57" i="4" s="1"/>
  <c r="Y71" i="4" s="1"/>
  <c r="Y85" i="4" s="1"/>
  <c r="AZ7" i="4"/>
  <c r="AY7" i="4"/>
  <c r="AX7" i="4"/>
  <c r="AW7" i="4"/>
  <c r="AV7" i="4"/>
  <c r="AU7" i="4"/>
  <c r="AT7" i="4"/>
  <c r="AS7" i="4"/>
  <c r="AR7" i="4"/>
  <c r="AQ7" i="4"/>
  <c r="AP7" i="4"/>
  <c r="AO7" i="4"/>
  <c r="AN7" i="4"/>
  <c r="BL6" i="4"/>
  <c r="BL28" i="4" s="1"/>
  <c r="BI6" i="4"/>
  <c r="BI28" i="4" s="1"/>
  <c r="BF6" i="4"/>
  <c r="BF28" i="4" s="1"/>
  <c r="AZ6" i="4"/>
  <c r="BP58" i="4" s="1"/>
  <c r="AK42" i="4" s="1"/>
  <c r="AY6" i="4"/>
  <c r="AX6" i="4"/>
  <c r="AW6" i="4"/>
  <c r="AV6" i="4"/>
  <c r="AU6" i="4"/>
  <c r="AT6" i="4"/>
  <c r="AS6" i="4"/>
  <c r="AR6" i="4"/>
  <c r="AQ6" i="4"/>
  <c r="AP6" i="4"/>
  <c r="AO6" i="4"/>
  <c r="AN6" i="4"/>
  <c r="AJ6" i="4"/>
  <c r="U6" i="4"/>
  <c r="P6" i="4"/>
  <c r="O6" i="4"/>
  <c r="N6" i="4"/>
  <c r="Q6" i="4" s="1"/>
  <c r="M6" i="4"/>
  <c r="I6" i="4"/>
  <c r="D6" i="4"/>
  <c r="C6" i="4"/>
  <c r="B6" i="4"/>
  <c r="Y27" i="4" s="1"/>
  <c r="Y42" i="4" s="1"/>
  <c r="Y56" i="4" s="1"/>
  <c r="Y70" i="4" s="1"/>
  <c r="Y84" i="4" s="1"/>
  <c r="BO5" i="4"/>
  <c r="BJ5" i="4"/>
  <c r="BI5" i="4"/>
  <c r="AZ5" i="4"/>
  <c r="BP16" i="4" s="1"/>
  <c r="BP38" i="4" s="1"/>
  <c r="AY5" i="4"/>
  <c r="AX5" i="4"/>
  <c r="AW5" i="4"/>
  <c r="AV5" i="4"/>
  <c r="AU5" i="4"/>
  <c r="BK16" i="4" s="1"/>
  <c r="BK38" i="4" s="1"/>
  <c r="AT5" i="4"/>
  <c r="AS5" i="4"/>
  <c r="BI15" i="4" s="1"/>
  <c r="AR5" i="4"/>
  <c r="BH16" i="4" s="1"/>
  <c r="BH38" i="4" s="1"/>
  <c r="AQ5" i="4"/>
  <c r="BG16" i="4" s="1"/>
  <c r="BG38" i="4" s="1"/>
  <c r="AP5" i="4"/>
  <c r="BF15" i="4" s="1"/>
  <c r="AO5" i="4"/>
  <c r="BE16" i="4" s="1"/>
  <c r="AN5" i="4"/>
  <c r="BO4" i="4"/>
  <c r="BL4" i="4"/>
  <c r="BK4" i="4"/>
  <c r="BI4" i="4"/>
  <c r="BF4" i="4"/>
  <c r="BE4" i="4"/>
  <c r="AZ4" i="4"/>
  <c r="AY4" i="4"/>
  <c r="AX4" i="4"/>
  <c r="AW4" i="4"/>
  <c r="AV4" i="4"/>
  <c r="BL19" i="4" s="1"/>
  <c r="AU4" i="4"/>
  <c r="BK19" i="4" s="1"/>
  <c r="AT4" i="4"/>
  <c r="BJ19" i="4" s="1"/>
  <c r="AS4" i="4"/>
  <c r="AR4" i="4"/>
  <c r="BH19" i="4" s="1"/>
  <c r="AQ4" i="4"/>
  <c r="AP4" i="4"/>
  <c r="BF19" i="4" s="1"/>
  <c r="AO4" i="4"/>
  <c r="AN4" i="4"/>
  <c r="AL4" i="4"/>
  <c r="AL20" i="4" s="1"/>
  <c r="AK4" i="4"/>
  <c r="AI4" i="4"/>
  <c r="AE4" i="4"/>
  <c r="Z4" i="4"/>
  <c r="Y4" i="4"/>
  <c r="T4" i="4"/>
  <c r="P4" i="4"/>
  <c r="AD4" i="4" s="1"/>
  <c r="O4" i="4"/>
  <c r="N4" i="4"/>
  <c r="S4" i="4" s="1"/>
  <c r="M4" i="4"/>
  <c r="L4" i="4"/>
  <c r="K4" i="4"/>
  <c r="J4" i="4"/>
  <c r="I4" i="4"/>
  <c r="G4" i="4"/>
  <c r="D4" i="4"/>
  <c r="C4" i="4" s="1"/>
  <c r="B4" i="4"/>
  <c r="Y26" i="4" s="1"/>
  <c r="Y41" i="4" s="1"/>
  <c r="Y55" i="4" s="1"/>
  <c r="Y69" i="4" s="1"/>
  <c r="Y83" i="4" s="1"/>
  <c r="T1" i="4"/>
  <c r="F26" i="3"/>
  <c r="AD23" i="3"/>
  <c r="AB23" i="3"/>
  <c r="AA23" i="3"/>
  <c r="Z23" i="3"/>
  <c r="Y23" i="3"/>
  <c r="X23" i="3"/>
  <c r="V23" i="3"/>
  <c r="T23" i="3"/>
  <c r="S23" i="3"/>
  <c r="Q23" i="3"/>
  <c r="P23" i="3"/>
  <c r="AA18" i="4" s="1"/>
  <c r="O23" i="3"/>
  <c r="AD22" i="3"/>
  <c r="AB22" i="3"/>
  <c r="Z22" i="3"/>
  <c r="Y22" i="3"/>
  <c r="X22" i="3"/>
  <c r="V22" i="3"/>
  <c r="U22" i="3"/>
  <c r="T22" i="3"/>
  <c r="S22" i="3"/>
  <c r="Q22" i="3"/>
  <c r="AF16" i="4" s="1"/>
  <c r="P22" i="3"/>
  <c r="AK16" i="4" s="1"/>
  <c r="O22" i="3"/>
  <c r="AD21" i="3"/>
  <c r="AB21" i="3"/>
  <c r="AA21" i="3"/>
  <c r="Z21" i="3"/>
  <c r="Y21" i="3"/>
  <c r="X21" i="3"/>
  <c r="V21" i="3"/>
  <c r="T21" i="3"/>
  <c r="S21" i="3"/>
  <c r="Q21" i="3"/>
  <c r="N21" i="3" s="1"/>
  <c r="P21" i="3"/>
  <c r="AA14" i="4" s="1"/>
  <c r="O21" i="3"/>
  <c r="AD20" i="3"/>
  <c r="AB20" i="3"/>
  <c r="Z20" i="3"/>
  <c r="Y20" i="3"/>
  <c r="X20" i="3"/>
  <c r="V20" i="3"/>
  <c r="U20" i="3"/>
  <c r="T20" i="3"/>
  <c r="S20" i="3"/>
  <c r="Q20" i="3"/>
  <c r="AF12" i="4" s="1"/>
  <c r="P20" i="3"/>
  <c r="AK12" i="4" s="1"/>
  <c r="O20" i="3"/>
  <c r="AD19" i="3"/>
  <c r="AB19" i="3"/>
  <c r="AA19" i="3"/>
  <c r="Z19" i="3"/>
  <c r="Y19" i="3"/>
  <c r="X19" i="3"/>
  <c r="V19" i="3"/>
  <c r="T19" i="3"/>
  <c r="S19" i="3"/>
  <c r="Q19" i="3"/>
  <c r="P19" i="3"/>
  <c r="AA10" i="4" s="1"/>
  <c r="O19" i="3"/>
  <c r="N19" i="3"/>
  <c r="AD18" i="3"/>
  <c r="Z18" i="3"/>
  <c r="Y18" i="3"/>
  <c r="X18" i="3"/>
  <c r="V18" i="3"/>
  <c r="U18" i="3"/>
  <c r="T18" i="3"/>
  <c r="S18" i="3"/>
  <c r="Q18" i="3"/>
  <c r="AF8" i="4" s="1"/>
  <c r="P18" i="3"/>
  <c r="AA8" i="4" s="1"/>
  <c r="O18" i="3"/>
  <c r="AD17" i="3"/>
  <c r="AB17" i="3"/>
  <c r="Z17" i="3"/>
  <c r="Y17" i="3"/>
  <c r="X17" i="3"/>
  <c r="T17" i="3"/>
  <c r="S17" i="3"/>
  <c r="Q17" i="3"/>
  <c r="P17" i="3"/>
  <c r="AA6" i="4" s="1"/>
  <c r="O17" i="3"/>
  <c r="N17" i="3"/>
  <c r="AD16" i="3"/>
  <c r="Z16" i="3"/>
  <c r="Y16" i="3"/>
  <c r="X16" i="3"/>
  <c r="V16" i="3"/>
  <c r="U16" i="3"/>
  <c r="T16" i="3"/>
  <c r="S16" i="3"/>
  <c r="Q16" i="3"/>
  <c r="AG4" i="4" s="1"/>
  <c r="AG20" i="4" s="1"/>
  <c r="P16" i="3"/>
  <c r="AA4" i="4" s="1"/>
  <c r="O16" i="3"/>
  <c r="E16" i="3"/>
  <c r="E23" i="3" s="1"/>
  <c r="O15" i="3"/>
  <c r="E15" i="3"/>
  <c r="X33" i="4" l="1"/>
  <c r="A18" i="4"/>
  <c r="E17" i="3"/>
  <c r="BM87" i="4"/>
  <c r="AH59" i="4" s="1"/>
  <c r="BM86" i="4"/>
  <c r="BM132" i="4"/>
  <c r="BM133" i="4"/>
  <c r="AH87" i="4" s="1"/>
  <c r="BM64" i="4"/>
  <c r="AH45" i="4" s="1"/>
  <c r="BM63" i="4"/>
  <c r="AA20" i="3"/>
  <c r="AE18" i="4"/>
  <c r="P18" i="4"/>
  <c r="AD18" i="4" s="1"/>
  <c r="AH18" i="4" s="1"/>
  <c r="AL76" i="4" s="1"/>
  <c r="AB33" i="4" s="1"/>
  <c r="AF18" i="4"/>
  <c r="BM125" i="4"/>
  <c r="BM78" i="4"/>
  <c r="AW20" i="4"/>
  <c r="BM124" i="4" s="1"/>
  <c r="BM140" i="4" s="1"/>
  <c r="BM19" i="4"/>
  <c r="BM11" i="4"/>
  <c r="BM33" i="4" s="1"/>
  <c r="AW22" i="4"/>
  <c r="BM10" i="4"/>
  <c r="BM6" i="4"/>
  <c r="BM28" i="4" s="1"/>
  <c r="AA16" i="3"/>
  <c r="BM21" i="4"/>
  <c r="BM43" i="4" s="1"/>
  <c r="AW21" i="4"/>
  <c r="BM17" i="4" s="1"/>
  <c r="BM39" i="4" s="1"/>
  <c r="BM9" i="4"/>
  <c r="BM5" i="4"/>
  <c r="BM20" i="4"/>
  <c r="BG135" i="4"/>
  <c r="AB88" i="4" s="1"/>
  <c r="BG134" i="4"/>
  <c r="BG66" i="4"/>
  <c r="AB46" i="4" s="1"/>
  <c r="BG88" i="4"/>
  <c r="BG65" i="4"/>
  <c r="BG89" i="4"/>
  <c r="AB60" i="4" s="1"/>
  <c r="U21" i="3"/>
  <c r="BO111" i="4"/>
  <c r="BO112" i="4"/>
  <c r="AJ74" i="4" s="1"/>
  <c r="AC21" i="3"/>
  <c r="E18" i="3"/>
  <c r="E19" i="3"/>
  <c r="AY22" i="4"/>
  <c r="AD6" i="4"/>
  <c r="K14" i="4"/>
  <c r="J14" i="4"/>
  <c r="BM91" i="4"/>
  <c r="AH61" i="4" s="1"/>
  <c r="BM136" i="4"/>
  <c r="BM137" i="4"/>
  <c r="AH89" i="4" s="1"/>
  <c r="BM90" i="4"/>
  <c r="BM68" i="4"/>
  <c r="AH47" i="4" s="1"/>
  <c r="BM67" i="4"/>
  <c r="AA22" i="3"/>
  <c r="BI113" i="4"/>
  <c r="BI114" i="4"/>
  <c r="AD75" i="4" s="1"/>
  <c r="W22" i="3"/>
  <c r="BG139" i="4"/>
  <c r="AB90" i="4" s="1"/>
  <c r="BG138" i="4"/>
  <c r="BG92" i="4"/>
  <c r="BG93" i="4"/>
  <c r="AB62" i="4" s="1"/>
  <c r="BG70" i="4"/>
  <c r="AB48" i="4" s="1"/>
  <c r="BG69" i="4"/>
  <c r="U23" i="3"/>
  <c r="BO115" i="4"/>
  <c r="BO116" i="4"/>
  <c r="AJ76" i="4" s="1"/>
  <c r="AC23" i="3"/>
  <c r="BI103" i="4"/>
  <c r="BI104" i="4"/>
  <c r="AD70" i="4" s="1"/>
  <c r="W17" i="3"/>
  <c r="BN79" i="4"/>
  <c r="BN55" i="4"/>
  <c r="BN4" i="4"/>
  <c r="BN19" i="4"/>
  <c r="BN11" i="4"/>
  <c r="BN33" i="4" s="1"/>
  <c r="AX22" i="4"/>
  <c r="AB16" i="3"/>
  <c r="BN10" i="4"/>
  <c r="BN6" i="4"/>
  <c r="BN28" i="4" s="1"/>
  <c r="BN21" i="4"/>
  <c r="BN43" i="4" s="1"/>
  <c r="AX21" i="4"/>
  <c r="BN17" i="4" s="1"/>
  <c r="BN39" i="4" s="1"/>
  <c r="BN9" i="4"/>
  <c r="BN5" i="4"/>
  <c r="BN20" i="4"/>
  <c r="AX20" i="4"/>
  <c r="BN56" i="4" s="1"/>
  <c r="BM81" i="4"/>
  <c r="AH56" i="4" s="1"/>
  <c r="BM80" i="4"/>
  <c r="BM126" i="4"/>
  <c r="BM127" i="4"/>
  <c r="AH84" i="4" s="1"/>
  <c r="BM58" i="4"/>
  <c r="AH42" i="4" s="1"/>
  <c r="BM57" i="4"/>
  <c r="E20" i="3"/>
  <c r="Y10" i="4"/>
  <c r="AC10" i="4" s="1"/>
  <c r="AL58" i="4" s="1"/>
  <c r="AA29" i="4" s="1"/>
  <c r="AI10" i="4"/>
  <c r="T10" i="4"/>
  <c r="K18" i="4"/>
  <c r="J18" i="4"/>
  <c r="O20" i="4"/>
  <c r="BI16" i="4"/>
  <c r="BI38" i="4" s="1"/>
  <c r="BI14" i="4"/>
  <c r="W16" i="3"/>
  <c r="K8" i="4"/>
  <c r="L8" i="4" s="1"/>
  <c r="J8" i="4"/>
  <c r="BG129" i="4"/>
  <c r="AB85" i="4" s="1"/>
  <c r="BG128" i="4"/>
  <c r="BG82" i="4"/>
  <c r="BG59" i="4"/>
  <c r="BG83" i="4"/>
  <c r="AB57" i="4" s="1"/>
  <c r="BG60" i="4"/>
  <c r="AB43" i="4" s="1"/>
  <c r="BO105" i="4"/>
  <c r="BO106" i="4"/>
  <c r="AJ71" i="4" s="1"/>
  <c r="AC18" i="3"/>
  <c r="BM130" i="4"/>
  <c r="BM85" i="4"/>
  <c r="AH58" i="4" s="1"/>
  <c r="BM84" i="4"/>
  <c r="BM131" i="4"/>
  <c r="AH86" i="4" s="1"/>
  <c r="BM61" i="4"/>
  <c r="BM62" i="4"/>
  <c r="AH44" i="4" s="1"/>
  <c r="BI107" i="4"/>
  <c r="BI108" i="4"/>
  <c r="AD72" i="4" s="1"/>
  <c r="W19" i="3"/>
  <c r="BG133" i="4"/>
  <c r="AB87" i="4" s="1"/>
  <c r="BG132" i="4"/>
  <c r="BG87" i="4"/>
  <c r="AB59" i="4" s="1"/>
  <c r="BG86" i="4"/>
  <c r="BG63" i="4"/>
  <c r="BG64" i="4"/>
  <c r="AB45" i="4" s="1"/>
  <c r="BO109" i="4"/>
  <c r="BO110" i="4"/>
  <c r="AJ73" i="4" s="1"/>
  <c r="AC20" i="3"/>
  <c r="Y14" i="4"/>
  <c r="AI14" i="4"/>
  <c r="T14" i="4"/>
  <c r="AE6" i="4"/>
  <c r="AE20" i="4" s="1"/>
  <c r="AF6" i="4"/>
  <c r="E21" i="3"/>
  <c r="AE10" i="4"/>
  <c r="P10" i="4"/>
  <c r="AD10" i="4" s="1"/>
  <c r="AF10" i="4"/>
  <c r="BG124" i="4"/>
  <c r="BG55" i="4"/>
  <c r="BG71" i="4" s="1"/>
  <c r="AQ22" i="4"/>
  <c r="BG10" i="4"/>
  <c r="BG9" i="4"/>
  <c r="BG5" i="4"/>
  <c r="BG20" i="4"/>
  <c r="AQ20" i="4"/>
  <c r="BG125" i="4" s="1"/>
  <c r="BG4" i="4"/>
  <c r="BG19" i="4"/>
  <c r="BG11" i="4"/>
  <c r="BG33" i="4" s="1"/>
  <c r="BJ102" i="4"/>
  <c r="BJ16" i="4"/>
  <c r="BJ38" i="4" s="1"/>
  <c r="BJ15" i="4"/>
  <c r="BJ14" i="4"/>
  <c r="E6" i="4"/>
  <c r="H6" i="4"/>
  <c r="G6" i="4"/>
  <c r="R6" i="4"/>
  <c r="F6" i="4"/>
  <c r="BG6" i="4"/>
  <c r="BG28" i="4" s="1"/>
  <c r="BM135" i="4"/>
  <c r="AH88" i="4" s="1"/>
  <c r="BM88" i="4"/>
  <c r="BM89" i="4"/>
  <c r="AH60" i="4" s="1"/>
  <c r="BM65" i="4"/>
  <c r="BM66" i="4"/>
  <c r="AH46" i="4" s="1"/>
  <c r="BM134" i="4"/>
  <c r="BI111" i="4"/>
  <c r="BI112" i="4"/>
  <c r="AD74" i="4" s="1"/>
  <c r="W21" i="3"/>
  <c r="E22" i="3"/>
  <c r="A4" i="4"/>
  <c r="K6" i="4"/>
  <c r="L6" i="4" s="1"/>
  <c r="J6" i="4"/>
  <c r="BG127" i="4"/>
  <c r="AB84" i="4" s="1"/>
  <c r="BG126" i="4"/>
  <c r="BG81" i="4"/>
  <c r="AB56" i="4" s="1"/>
  <c r="BG80" i="4"/>
  <c r="BG58" i="4"/>
  <c r="AB42" i="4" s="1"/>
  <c r="BG57" i="4"/>
  <c r="U17" i="3"/>
  <c r="K12" i="4"/>
  <c r="L12" i="4" s="1"/>
  <c r="J12" i="4"/>
  <c r="Y18" i="4"/>
  <c r="AI18" i="4"/>
  <c r="T18" i="4"/>
  <c r="X18" i="4" s="1"/>
  <c r="AL48" i="4" s="1"/>
  <c r="Z33" i="4" s="1"/>
  <c r="AS22" i="4"/>
  <c r="BH127" i="4"/>
  <c r="AC84" i="4" s="1"/>
  <c r="BH81" i="4"/>
  <c r="AC56" i="4" s="1"/>
  <c r="BH80" i="4"/>
  <c r="BH57" i="4"/>
  <c r="BH126" i="4"/>
  <c r="V17" i="3"/>
  <c r="BH58" i="4"/>
  <c r="AC42" i="4" s="1"/>
  <c r="AI8" i="4"/>
  <c r="AM8" i="4" s="1"/>
  <c r="AL85" i="4" s="1"/>
  <c r="AC28" i="4" s="1"/>
  <c r="T8" i="4"/>
  <c r="X8" i="4" s="1"/>
  <c r="AL43" i="4" s="1"/>
  <c r="Z28" i="4" s="1"/>
  <c r="Y8" i="4"/>
  <c r="AC8" i="4" s="1"/>
  <c r="AL57" i="4" s="1"/>
  <c r="AA28" i="4" s="1"/>
  <c r="K16" i="4"/>
  <c r="L16" i="4" s="1"/>
  <c r="J16" i="4"/>
  <c r="BG137" i="4"/>
  <c r="AB89" i="4" s="1"/>
  <c r="BG136" i="4"/>
  <c r="BG91" i="4"/>
  <c r="AB61" i="4" s="1"/>
  <c r="BG68" i="4"/>
  <c r="AB47" i="4" s="1"/>
  <c r="BG67" i="4"/>
  <c r="BG90" i="4"/>
  <c r="BO114" i="4"/>
  <c r="AJ75" i="4" s="1"/>
  <c r="BO113" i="4"/>
  <c r="AC22" i="3"/>
  <c r="BM93" i="4"/>
  <c r="AH62" i="4" s="1"/>
  <c r="BM92" i="4"/>
  <c r="BM70" i="4"/>
  <c r="AH48" i="4" s="1"/>
  <c r="BM138" i="4"/>
  <c r="BM139" i="4"/>
  <c r="AH90" i="4" s="1"/>
  <c r="BM69" i="4"/>
  <c r="BI115" i="4"/>
  <c r="BI116" i="4"/>
  <c r="AD76" i="4" s="1"/>
  <c r="W23" i="3"/>
  <c r="N20" i="4"/>
  <c r="Q4" i="4"/>
  <c r="AE14" i="4"/>
  <c r="P14" i="4"/>
  <c r="AD14" i="4" s="1"/>
  <c r="AF14" i="4"/>
  <c r="AC4" i="4"/>
  <c r="BO103" i="4"/>
  <c r="BO104" i="4"/>
  <c r="AJ70" i="4" s="1"/>
  <c r="AC17" i="3"/>
  <c r="X26" i="4"/>
  <c r="E49" i="3"/>
  <c r="BE38" i="4"/>
  <c r="N23" i="3"/>
  <c r="BM4" i="4"/>
  <c r="Y6" i="4"/>
  <c r="Y20" i="4" s="1"/>
  <c r="AI6" i="4"/>
  <c r="T6" i="4"/>
  <c r="T20" i="4" s="1"/>
  <c r="BP103" i="4"/>
  <c r="BP104" i="4"/>
  <c r="AK70" i="4" s="1"/>
  <c r="AI12" i="4"/>
  <c r="AM12" i="4" s="1"/>
  <c r="AL87" i="4" s="1"/>
  <c r="AC30" i="4" s="1"/>
  <c r="T12" i="4"/>
  <c r="X12" i="4" s="1"/>
  <c r="AL45" i="4" s="1"/>
  <c r="Z30" i="4" s="1"/>
  <c r="Y12" i="4"/>
  <c r="BE29" i="4"/>
  <c r="K10" i="4"/>
  <c r="L10" i="4" s="1"/>
  <c r="J10" i="4"/>
  <c r="AA17" i="3"/>
  <c r="BO14" i="4"/>
  <c r="AC16" i="3"/>
  <c r="BO16" i="4"/>
  <c r="BO38" i="4" s="1"/>
  <c r="BM129" i="4"/>
  <c r="AH85" i="4" s="1"/>
  <c r="BM83" i="4"/>
  <c r="AH57" i="4" s="1"/>
  <c r="BM82" i="4"/>
  <c r="BM128" i="4"/>
  <c r="BM59" i="4"/>
  <c r="AA18" i="3"/>
  <c r="BM60" i="4"/>
  <c r="AH43" i="4" s="1"/>
  <c r="BI105" i="4"/>
  <c r="BI106" i="4"/>
  <c r="AD71" i="4" s="1"/>
  <c r="W18" i="3"/>
  <c r="BG131" i="4"/>
  <c r="AB86" i="4" s="1"/>
  <c r="BG130" i="4"/>
  <c r="BG85" i="4"/>
  <c r="AB58" i="4" s="1"/>
  <c r="BG84" i="4"/>
  <c r="BG61" i="4"/>
  <c r="BG62" i="4"/>
  <c r="AB44" i="4" s="1"/>
  <c r="U19" i="3"/>
  <c r="BO108" i="4"/>
  <c r="AJ72" i="4" s="1"/>
  <c r="BO107" i="4"/>
  <c r="AC19" i="3"/>
  <c r="BI109" i="4"/>
  <c r="BI110" i="4"/>
  <c r="AD73" i="4" s="1"/>
  <c r="W20" i="3"/>
  <c r="AI16" i="4"/>
  <c r="AM16" i="4" s="1"/>
  <c r="AL89" i="4" s="1"/>
  <c r="AC32" i="4" s="1"/>
  <c r="T16" i="4"/>
  <c r="Y16" i="4"/>
  <c r="BK12" i="4"/>
  <c r="BK34" i="4" s="1"/>
  <c r="BK7" i="4"/>
  <c r="BK29" i="4" s="1"/>
  <c r="BK22" i="4"/>
  <c r="BK44" i="4" s="1"/>
  <c r="AB4" i="4"/>
  <c r="AB20" i="4" s="1"/>
  <c r="BP55" i="4"/>
  <c r="BL101" i="4"/>
  <c r="BL117" i="4" s="1"/>
  <c r="BL5" i="4"/>
  <c r="BJ126" i="4"/>
  <c r="BJ81" i="4"/>
  <c r="AE56" i="4" s="1"/>
  <c r="BJ80" i="4"/>
  <c r="BJ58" i="4"/>
  <c r="AE42" i="4" s="1"/>
  <c r="BJ57" i="4"/>
  <c r="BJ127" i="4"/>
  <c r="AE84" i="4" s="1"/>
  <c r="BF104" i="4"/>
  <c r="AA70" i="4" s="1"/>
  <c r="BF103" i="4"/>
  <c r="BP83" i="4"/>
  <c r="AK57" i="4" s="1"/>
  <c r="BP82" i="4"/>
  <c r="BP128" i="4"/>
  <c r="BP60" i="4"/>
  <c r="AK43" i="4" s="1"/>
  <c r="BP129" i="4"/>
  <c r="AK85" i="4" s="1"/>
  <c r="BP59" i="4"/>
  <c r="BL106" i="4"/>
  <c r="AG71" i="4" s="1"/>
  <c r="BL105" i="4"/>
  <c r="BL9" i="4"/>
  <c r="F10" i="4"/>
  <c r="BJ130" i="4"/>
  <c r="BJ85" i="4"/>
  <c r="AE58" i="4" s="1"/>
  <c r="BJ84" i="4"/>
  <c r="BJ131" i="4"/>
  <c r="AE86" i="4" s="1"/>
  <c r="BJ62" i="4"/>
  <c r="AE44" i="4" s="1"/>
  <c r="BI10" i="4"/>
  <c r="BF107" i="4"/>
  <c r="BF108" i="4"/>
  <c r="AA72" i="4" s="1"/>
  <c r="BF11" i="4"/>
  <c r="BF33" i="4" s="1"/>
  <c r="BP132" i="4"/>
  <c r="BP133" i="4"/>
  <c r="AK87" i="4" s="1"/>
  <c r="BP87" i="4"/>
  <c r="AK59" i="4" s="1"/>
  <c r="BP86" i="4"/>
  <c r="BP64" i="4"/>
  <c r="AK45" i="4" s="1"/>
  <c r="BP63" i="4"/>
  <c r="BL110" i="4"/>
  <c r="AG73" i="4" s="1"/>
  <c r="BL109" i="4"/>
  <c r="BJ65" i="4"/>
  <c r="BJ134" i="4"/>
  <c r="BJ135" i="4"/>
  <c r="AE88" i="4" s="1"/>
  <c r="BJ88" i="4"/>
  <c r="BJ89" i="4"/>
  <c r="AE60" i="4" s="1"/>
  <c r="BJ66" i="4"/>
  <c r="AE46" i="4" s="1"/>
  <c r="BF111" i="4"/>
  <c r="BF112" i="4"/>
  <c r="AA74" i="4" s="1"/>
  <c r="BP136" i="4"/>
  <c r="BP137" i="4"/>
  <c r="AK89" i="4" s="1"/>
  <c r="BP90" i="4"/>
  <c r="BP91" i="4"/>
  <c r="AK61" i="4" s="1"/>
  <c r="BP68" i="4"/>
  <c r="AK47" i="4" s="1"/>
  <c r="BP67" i="4"/>
  <c r="BL114" i="4"/>
  <c r="AG75" i="4" s="1"/>
  <c r="BL113" i="4"/>
  <c r="BJ92" i="4"/>
  <c r="BJ93" i="4"/>
  <c r="AE62" i="4" s="1"/>
  <c r="BJ138" i="4"/>
  <c r="BJ139" i="4"/>
  <c r="AE90" i="4" s="1"/>
  <c r="BJ69" i="4"/>
  <c r="BJ70" i="4"/>
  <c r="AE48" i="4" s="1"/>
  <c r="BF116" i="4"/>
  <c r="AA76" i="4" s="1"/>
  <c r="BF115" i="4"/>
  <c r="AT21" i="4"/>
  <c r="BJ17" i="4" s="1"/>
  <c r="BJ39" i="4" s="1"/>
  <c r="BJ21" i="4"/>
  <c r="BJ43" i="4" s="1"/>
  <c r="AR22" i="4"/>
  <c r="E4" i="4"/>
  <c r="BE124" i="4"/>
  <c r="BE125" i="4"/>
  <c r="BE56" i="4"/>
  <c r="BE79" i="4"/>
  <c r="BE78" i="4"/>
  <c r="BP4" i="4"/>
  <c r="BM101" i="4"/>
  <c r="BM117" i="4" s="1"/>
  <c r="S6" i="4"/>
  <c r="BK126" i="4"/>
  <c r="BK81" i="4"/>
  <c r="AF56" i="4" s="1"/>
  <c r="BK80" i="4"/>
  <c r="BK58" i="4"/>
  <c r="AF42" i="4" s="1"/>
  <c r="BK127" i="4"/>
  <c r="AF84" i="4" s="1"/>
  <c r="BJ6" i="4"/>
  <c r="BJ28" i="4" s="1"/>
  <c r="BG104" i="4"/>
  <c r="AB70" i="4" s="1"/>
  <c r="BG103" i="4"/>
  <c r="Z8" i="4"/>
  <c r="BE82" i="4"/>
  <c r="BE128" i="4"/>
  <c r="BE129" i="4"/>
  <c r="Z85" i="4" s="1"/>
  <c r="BE60" i="4"/>
  <c r="Z43" i="4" s="1"/>
  <c r="BE83" i="4"/>
  <c r="Z57" i="4" s="1"/>
  <c r="BM105" i="4"/>
  <c r="BM106" i="4"/>
  <c r="AH71" i="4" s="1"/>
  <c r="G10" i="4"/>
  <c r="S10" i="4"/>
  <c r="BK130" i="4"/>
  <c r="BK85" i="4"/>
  <c r="AF58" i="4" s="1"/>
  <c r="BK84" i="4"/>
  <c r="BK131" i="4"/>
  <c r="AF86" i="4" s="1"/>
  <c r="BK62" i="4"/>
  <c r="AF44" i="4" s="1"/>
  <c r="BK61" i="4"/>
  <c r="BJ10" i="4"/>
  <c r="BG108" i="4"/>
  <c r="AB72" i="4" s="1"/>
  <c r="BG107" i="4"/>
  <c r="Z12" i="4"/>
  <c r="BE132" i="4"/>
  <c r="BE133" i="4"/>
  <c r="Z87" i="4" s="1"/>
  <c r="BE87" i="4"/>
  <c r="Z59" i="4" s="1"/>
  <c r="BE86" i="4"/>
  <c r="BE63" i="4"/>
  <c r="BE64" i="4"/>
  <c r="Z45" i="4" s="1"/>
  <c r="BM109" i="4"/>
  <c r="BM110" i="4"/>
  <c r="AH73" i="4" s="1"/>
  <c r="G14" i="4"/>
  <c r="S14" i="4"/>
  <c r="BK134" i="4"/>
  <c r="BK135" i="4"/>
  <c r="AF88" i="4" s="1"/>
  <c r="BK88" i="4"/>
  <c r="BK89" i="4"/>
  <c r="AF60" i="4" s="1"/>
  <c r="BK65" i="4"/>
  <c r="BG112" i="4"/>
  <c r="AB74" i="4" s="1"/>
  <c r="BG111" i="4"/>
  <c r="BG15" i="4"/>
  <c r="Z16" i="4"/>
  <c r="BE90" i="4"/>
  <c r="BE91" i="4"/>
  <c r="Z61" i="4" s="1"/>
  <c r="BE136" i="4"/>
  <c r="BE67" i="4"/>
  <c r="BE137" i="4"/>
  <c r="Z89" i="4" s="1"/>
  <c r="BE68" i="4"/>
  <c r="Z47" i="4" s="1"/>
  <c r="BB16" i="4"/>
  <c r="BM113" i="4"/>
  <c r="BM114" i="4"/>
  <c r="AH75" i="4" s="1"/>
  <c r="G18" i="4"/>
  <c r="S18" i="4"/>
  <c r="BK92" i="4"/>
  <c r="BK70" i="4"/>
  <c r="AF48" i="4" s="1"/>
  <c r="BK93" i="4"/>
  <c r="AF62" i="4" s="1"/>
  <c r="BK69" i="4"/>
  <c r="BK138" i="4"/>
  <c r="BK139" i="4"/>
  <c r="AF90" i="4" s="1"/>
  <c r="BG116" i="4"/>
  <c r="AB76" i="4" s="1"/>
  <c r="BG115" i="4"/>
  <c r="AY20" i="4"/>
  <c r="AU21" i="4"/>
  <c r="BK17" i="4" s="1"/>
  <c r="BK39" i="4" s="1"/>
  <c r="BK21" i="4"/>
  <c r="BK43" i="4" s="1"/>
  <c r="BE55" i="4"/>
  <c r="F4" i="4"/>
  <c r="R4" i="4"/>
  <c r="BF78" i="4"/>
  <c r="BF125" i="4"/>
  <c r="BN101" i="4"/>
  <c r="BL127" i="4"/>
  <c r="AG84" i="4" s="1"/>
  <c r="BL126" i="4"/>
  <c r="BL81" i="4"/>
  <c r="AG56" i="4" s="1"/>
  <c r="BL80" i="4"/>
  <c r="BL58" i="4"/>
  <c r="AG42" i="4" s="1"/>
  <c r="BL57" i="4"/>
  <c r="BK6" i="4"/>
  <c r="BK28" i="4" s="1"/>
  <c r="BH103" i="4"/>
  <c r="BH104" i="4"/>
  <c r="AC70" i="4" s="1"/>
  <c r="BF83" i="4"/>
  <c r="AA57" i="4" s="1"/>
  <c r="BF82" i="4"/>
  <c r="BF128" i="4"/>
  <c r="BF129" i="4"/>
  <c r="AA85" i="4" s="1"/>
  <c r="BF60" i="4"/>
  <c r="AA43" i="4" s="1"/>
  <c r="BF59" i="4"/>
  <c r="BN105" i="4"/>
  <c r="BN106" i="4"/>
  <c r="AI71" i="4" s="1"/>
  <c r="H10" i="4"/>
  <c r="BL85" i="4"/>
  <c r="AG58" i="4" s="1"/>
  <c r="BL131" i="4"/>
  <c r="AG86" i="4" s="1"/>
  <c r="BL130" i="4"/>
  <c r="BL84" i="4"/>
  <c r="BL62" i="4"/>
  <c r="AG44" i="4" s="1"/>
  <c r="BL61" i="4"/>
  <c r="BK10" i="4"/>
  <c r="BH107" i="4"/>
  <c r="BH108" i="4"/>
  <c r="AC72" i="4" s="1"/>
  <c r="BH11" i="4"/>
  <c r="BH33" i="4" s="1"/>
  <c r="AA12" i="4"/>
  <c r="AA20" i="4" s="1"/>
  <c r="BF87" i="4"/>
  <c r="AA59" i="4" s="1"/>
  <c r="BF132" i="4"/>
  <c r="BF133" i="4"/>
  <c r="AA87" i="4" s="1"/>
  <c r="BF86" i="4"/>
  <c r="BE12" i="4"/>
  <c r="BN109" i="4"/>
  <c r="BN110" i="4"/>
  <c r="AI73" i="4" s="1"/>
  <c r="BL89" i="4"/>
  <c r="AG60" i="4" s="1"/>
  <c r="BL135" i="4"/>
  <c r="AG88" i="4" s="1"/>
  <c r="BL134" i="4"/>
  <c r="BL88" i="4"/>
  <c r="BL66" i="4"/>
  <c r="AG46" i="4" s="1"/>
  <c r="BL65" i="4"/>
  <c r="BK14" i="4"/>
  <c r="BH111" i="4"/>
  <c r="BH112" i="4"/>
  <c r="AC74" i="4" s="1"/>
  <c r="BH15" i="4"/>
  <c r="AA16" i="4"/>
  <c r="BF90" i="4"/>
  <c r="BF91" i="4"/>
  <c r="AA61" i="4" s="1"/>
  <c r="BF136" i="4"/>
  <c r="BF67" i="4"/>
  <c r="BF137" i="4"/>
  <c r="AA89" i="4" s="1"/>
  <c r="BF68" i="4"/>
  <c r="AA47" i="4" s="1"/>
  <c r="BN113" i="4"/>
  <c r="BN114" i="4"/>
  <c r="AI75" i="4" s="1"/>
  <c r="H18" i="4"/>
  <c r="BL139" i="4"/>
  <c r="AG90" i="4" s="1"/>
  <c r="BL138" i="4"/>
  <c r="BL92" i="4"/>
  <c r="BL93" i="4"/>
  <c r="AG62" i="4" s="1"/>
  <c r="BL69" i="4"/>
  <c r="BL70" i="4"/>
  <c r="AG48" i="4" s="1"/>
  <c r="BH115" i="4"/>
  <c r="BH116" i="4"/>
  <c r="AC76" i="4" s="1"/>
  <c r="AZ20" i="4"/>
  <c r="BP78" i="4" s="1"/>
  <c r="BP94" i="4" s="1"/>
  <c r="BO20" i="4"/>
  <c r="AV21" i="4"/>
  <c r="BL17" i="4" s="1"/>
  <c r="BL39" i="4" s="1"/>
  <c r="BL21" i="4"/>
  <c r="BL43" i="4" s="1"/>
  <c r="AT22" i="4"/>
  <c r="BN63" i="4"/>
  <c r="N16" i="3"/>
  <c r="N18" i="3"/>
  <c r="N20" i="3"/>
  <c r="N22" i="3"/>
  <c r="H25" i="3"/>
  <c r="H4" i="4"/>
  <c r="AF4" i="4"/>
  <c r="BH124" i="4"/>
  <c r="BH55" i="4"/>
  <c r="BH71" i="4" s="1"/>
  <c r="BP102" i="4"/>
  <c r="BP5" i="4"/>
  <c r="V6" i="4"/>
  <c r="AK6" i="4"/>
  <c r="AK20" i="4" s="1"/>
  <c r="BN81" i="4"/>
  <c r="AI56" i="4" s="1"/>
  <c r="BN80" i="4"/>
  <c r="BN126" i="4"/>
  <c r="BN127" i="4"/>
  <c r="AI84" i="4" s="1"/>
  <c r="BN57" i="4"/>
  <c r="BN58" i="4"/>
  <c r="AI42" i="4" s="1"/>
  <c r="BJ103" i="4"/>
  <c r="BJ104" i="4"/>
  <c r="AE70" i="4" s="1"/>
  <c r="P8" i="4"/>
  <c r="AD8" i="4" s="1"/>
  <c r="AD20" i="4" s="1"/>
  <c r="BH128" i="4"/>
  <c r="BH129" i="4"/>
  <c r="AC85" i="4" s="1"/>
  <c r="BH83" i="4"/>
  <c r="AC57" i="4" s="1"/>
  <c r="BH59" i="4"/>
  <c r="BH82" i="4"/>
  <c r="BH60" i="4"/>
  <c r="AC43" i="4" s="1"/>
  <c r="BP105" i="4"/>
  <c r="BP106" i="4"/>
  <c r="AK71" i="4" s="1"/>
  <c r="BP9" i="4"/>
  <c r="V10" i="4"/>
  <c r="AK10" i="4"/>
  <c r="BN130" i="4"/>
  <c r="BN85" i="4"/>
  <c r="AI58" i="4" s="1"/>
  <c r="BN84" i="4"/>
  <c r="BN131" i="4"/>
  <c r="AI86" i="4" s="1"/>
  <c r="BN61" i="4"/>
  <c r="BN62" i="4"/>
  <c r="AI44" i="4" s="1"/>
  <c r="BJ107" i="4"/>
  <c r="BJ108" i="4"/>
  <c r="AE72" i="4" s="1"/>
  <c r="BJ11" i="4"/>
  <c r="BJ33" i="4" s="1"/>
  <c r="P12" i="4"/>
  <c r="AD12" i="4" s="1"/>
  <c r="AH12" i="4" s="1"/>
  <c r="AL73" i="4" s="1"/>
  <c r="AB30" i="4" s="1"/>
  <c r="BH133" i="4"/>
  <c r="AC87" i="4" s="1"/>
  <c r="BH64" i="4"/>
  <c r="AC45" i="4" s="1"/>
  <c r="BH87" i="4"/>
  <c r="AC59" i="4" s="1"/>
  <c r="BH86" i="4"/>
  <c r="BH132" i="4"/>
  <c r="BH63" i="4"/>
  <c r="BP109" i="4"/>
  <c r="BP110" i="4"/>
  <c r="AK73" i="4" s="1"/>
  <c r="V14" i="4"/>
  <c r="AK14" i="4"/>
  <c r="BN135" i="4"/>
  <c r="AI88" i="4" s="1"/>
  <c r="BN88" i="4"/>
  <c r="BN89" i="4"/>
  <c r="AI60" i="4" s="1"/>
  <c r="BN66" i="4"/>
  <c r="AI46" i="4" s="1"/>
  <c r="BN134" i="4"/>
  <c r="BN65" i="4"/>
  <c r="BM14" i="4"/>
  <c r="BJ112" i="4"/>
  <c r="AE74" i="4" s="1"/>
  <c r="BJ111" i="4"/>
  <c r="P16" i="4"/>
  <c r="AD16" i="4" s="1"/>
  <c r="BH91" i="4"/>
  <c r="AC61" i="4" s="1"/>
  <c r="BH68" i="4"/>
  <c r="AC47" i="4" s="1"/>
  <c r="BH67" i="4"/>
  <c r="BH136" i="4"/>
  <c r="BH137" i="4"/>
  <c r="AC89" i="4" s="1"/>
  <c r="BH90" i="4"/>
  <c r="BP114" i="4"/>
  <c r="AK75" i="4" s="1"/>
  <c r="BP113" i="4"/>
  <c r="V18" i="4"/>
  <c r="AK18" i="4"/>
  <c r="BN92" i="4"/>
  <c r="BN70" i="4"/>
  <c r="AI48" i="4" s="1"/>
  <c r="BN93" i="4"/>
  <c r="AI62" i="4" s="1"/>
  <c r="BN69" i="4"/>
  <c r="BN138" i="4"/>
  <c r="BN139" i="4"/>
  <c r="AI90" i="4" s="1"/>
  <c r="BJ115" i="4"/>
  <c r="BJ116" i="4"/>
  <c r="AE76" i="4" s="1"/>
  <c r="AP20" i="4"/>
  <c r="BB8" i="4" s="1"/>
  <c r="BE20" i="4"/>
  <c r="AV22" i="4"/>
  <c r="BF64" i="4"/>
  <c r="AA45" i="4" s="1"/>
  <c r="U4" i="4"/>
  <c r="BI55" i="4"/>
  <c r="BI78" i="4"/>
  <c r="BI94" i="4" s="1"/>
  <c r="BH4" i="4"/>
  <c r="BQ4" i="4" s="1"/>
  <c r="BR4" i="4" s="1"/>
  <c r="BE5" i="4"/>
  <c r="BE8" i="4" s="1"/>
  <c r="BO81" i="4"/>
  <c r="AJ56" i="4" s="1"/>
  <c r="BO80" i="4"/>
  <c r="BO126" i="4"/>
  <c r="BO127" i="4"/>
  <c r="AJ84" i="4" s="1"/>
  <c r="BO57" i="4"/>
  <c r="BO58" i="4"/>
  <c r="AJ42" i="4" s="1"/>
  <c r="BK103" i="4"/>
  <c r="BK104" i="4"/>
  <c r="AF70" i="4" s="1"/>
  <c r="E8" i="4"/>
  <c r="Q8" i="4"/>
  <c r="AE8" i="4"/>
  <c r="BI128" i="4"/>
  <c r="BI129" i="4"/>
  <c r="AD85" i="4" s="1"/>
  <c r="BI83" i="4"/>
  <c r="AD57" i="4" s="1"/>
  <c r="BI59" i="4"/>
  <c r="BI82" i="4"/>
  <c r="BE105" i="4"/>
  <c r="BE106" i="4"/>
  <c r="Z71" i="4" s="1"/>
  <c r="BE9" i="4"/>
  <c r="BO84" i="4"/>
  <c r="BO130" i="4"/>
  <c r="BO85" i="4"/>
  <c r="AJ58" i="4" s="1"/>
  <c r="BO131" i="4"/>
  <c r="AJ86" i="4" s="1"/>
  <c r="BO61" i="4"/>
  <c r="BK107" i="4"/>
  <c r="BK108" i="4"/>
  <c r="AF72" i="4" s="1"/>
  <c r="BK11" i="4"/>
  <c r="BK33" i="4" s="1"/>
  <c r="E12" i="4"/>
  <c r="Q12" i="4"/>
  <c r="AE12" i="4"/>
  <c r="BI86" i="4"/>
  <c r="BI133" i="4"/>
  <c r="AD87" i="4" s="1"/>
  <c r="BI64" i="4"/>
  <c r="AD45" i="4" s="1"/>
  <c r="BI87" i="4"/>
  <c r="AD59" i="4" s="1"/>
  <c r="BI63" i="4"/>
  <c r="BI132" i="4"/>
  <c r="BE110" i="4"/>
  <c r="Z73" i="4" s="1"/>
  <c r="BE109" i="4"/>
  <c r="BO88" i="4"/>
  <c r="BO89" i="4"/>
  <c r="AJ60" i="4" s="1"/>
  <c r="BO66" i="4"/>
  <c r="AJ46" i="4" s="1"/>
  <c r="BO65" i="4"/>
  <c r="BO134" i="4"/>
  <c r="BO135" i="4"/>
  <c r="AJ88" i="4" s="1"/>
  <c r="BN14" i="4"/>
  <c r="BK112" i="4"/>
  <c r="AF74" i="4" s="1"/>
  <c r="BK111" i="4"/>
  <c r="BK15" i="4"/>
  <c r="E16" i="4"/>
  <c r="AE16" i="4"/>
  <c r="BI90" i="4"/>
  <c r="BI68" i="4"/>
  <c r="AD47" i="4" s="1"/>
  <c r="BI67" i="4"/>
  <c r="BI91" i="4"/>
  <c r="AD61" i="4" s="1"/>
  <c r="BI136" i="4"/>
  <c r="BI137" i="4"/>
  <c r="AD89" i="4" s="1"/>
  <c r="BE113" i="4"/>
  <c r="BE114" i="4"/>
  <c r="Z75" i="4" s="1"/>
  <c r="BO92" i="4"/>
  <c r="BO70" i="4"/>
  <c r="AJ48" i="4" s="1"/>
  <c r="BO93" i="4"/>
  <c r="AJ62" i="4" s="1"/>
  <c r="BO138" i="4"/>
  <c r="BO139" i="4"/>
  <c r="AJ90" i="4" s="1"/>
  <c r="BO69" i="4"/>
  <c r="BK115" i="4"/>
  <c r="BK116" i="4"/>
  <c r="AF76" i="4" s="1"/>
  <c r="BF20" i="4"/>
  <c r="AY21" i="4"/>
  <c r="BO17" i="4" s="1"/>
  <c r="BO39" i="4" s="1"/>
  <c r="BO21" i="4"/>
  <c r="BO43" i="4" s="1"/>
  <c r="BJ61" i="4"/>
  <c r="V4" i="4"/>
  <c r="BF5" i="4"/>
  <c r="BP126" i="4"/>
  <c r="BP127" i="4"/>
  <c r="AK84" i="4" s="1"/>
  <c r="BP57" i="4"/>
  <c r="BP80" i="4"/>
  <c r="BP81" i="4"/>
  <c r="AK56" i="4" s="1"/>
  <c r="BO6" i="4"/>
  <c r="BO28" i="4" s="1"/>
  <c r="BL104" i="4"/>
  <c r="AG70" i="4" s="1"/>
  <c r="BL103" i="4"/>
  <c r="F8" i="4"/>
  <c r="R8" i="4"/>
  <c r="BJ128" i="4"/>
  <c r="BJ129" i="4"/>
  <c r="AE85" i="4" s="1"/>
  <c r="BJ83" i="4"/>
  <c r="AE57" i="4" s="1"/>
  <c r="BJ82" i="4"/>
  <c r="BJ59" i="4"/>
  <c r="BJ60" i="4"/>
  <c r="AE43" i="4" s="1"/>
  <c r="BF105" i="4"/>
  <c r="BF106" i="4"/>
  <c r="AA71" i="4" s="1"/>
  <c r="BF9" i="4"/>
  <c r="BP130" i="4"/>
  <c r="BP85" i="4"/>
  <c r="AK58" i="4" s="1"/>
  <c r="BP84" i="4"/>
  <c r="BP131" i="4"/>
  <c r="AK86" i="4" s="1"/>
  <c r="BP62" i="4"/>
  <c r="AK44" i="4" s="1"/>
  <c r="BP61" i="4"/>
  <c r="BO10" i="4"/>
  <c r="BL108" i="4"/>
  <c r="AG72" i="4" s="1"/>
  <c r="BL107" i="4"/>
  <c r="BL11" i="4"/>
  <c r="BL33" i="4" s="1"/>
  <c r="F12" i="4"/>
  <c r="R12" i="4"/>
  <c r="BJ64" i="4"/>
  <c r="AE45" i="4" s="1"/>
  <c r="BJ87" i="4"/>
  <c r="AE59" i="4" s="1"/>
  <c r="BJ86" i="4"/>
  <c r="BJ132" i="4"/>
  <c r="BJ63" i="4"/>
  <c r="BJ133" i="4"/>
  <c r="AE87" i="4" s="1"/>
  <c r="BF110" i="4"/>
  <c r="AA73" i="4" s="1"/>
  <c r="BF109" i="4"/>
  <c r="BP88" i="4"/>
  <c r="BP89" i="4"/>
  <c r="AK60" i="4" s="1"/>
  <c r="BP65" i="4"/>
  <c r="BP134" i="4"/>
  <c r="BP66" i="4"/>
  <c r="AK46" i="4" s="1"/>
  <c r="BP135" i="4"/>
  <c r="AK88" i="4" s="1"/>
  <c r="BL112" i="4"/>
  <c r="AG74" i="4" s="1"/>
  <c r="BL111" i="4"/>
  <c r="BL15" i="4"/>
  <c r="BL18" i="4" s="1"/>
  <c r="F16" i="4"/>
  <c r="BJ91" i="4"/>
  <c r="AE61" i="4" s="1"/>
  <c r="BJ136" i="4"/>
  <c r="BJ137" i="4"/>
  <c r="AE89" i="4" s="1"/>
  <c r="BJ90" i="4"/>
  <c r="BJ67" i="4"/>
  <c r="BJ68" i="4"/>
  <c r="AE47" i="4" s="1"/>
  <c r="BF113" i="4"/>
  <c r="BF114" i="4"/>
  <c r="AA75" i="4" s="1"/>
  <c r="BP93" i="4"/>
  <c r="AK62" i="4" s="1"/>
  <c r="BP69" i="4"/>
  <c r="BP138" i="4"/>
  <c r="BP139" i="4"/>
  <c r="AK90" i="4" s="1"/>
  <c r="BP92" i="4"/>
  <c r="BL116" i="4"/>
  <c r="AG76" i="4" s="1"/>
  <c r="BL115" i="4"/>
  <c r="AR20" i="4"/>
  <c r="BH79" i="4" s="1"/>
  <c r="AZ21" i="4"/>
  <c r="BP17" i="4" s="1"/>
  <c r="BP39" i="4" s="1"/>
  <c r="BP21" i="4"/>
  <c r="BP43" i="4" s="1"/>
  <c r="W4" i="4"/>
  <c r="W20" i="4" s="1"/>
  <c r="BK124" i="4"/>
  <c r="BK125" i="4"/>
  <c r="BK79" i="4"/>
  <c r="BK78" i="4"/>
  <c r="BK56" i="4"/>
  <c r="BK55" i="4"/>
  <c r="BJ4" i="4"/>
  <c r="BG102" i="4"/>
  <c r="BG101" i="4"/>
  <c r="Z6" i="4"/>
  <c r="Z20" i="4" s="1"/>
  <c r="BE126" i="4"/>
  <c r="BE81" i="4"/>
  <c r="Z56" i="4" s="1"/>
  <c r="BE80" i="4"/>
  <c r="BE127" i="4"/>
  <c r="Z84" i="4" s="1"/>
  <c r="BE58" i="4"/>
  <c r="Z42" i="4" s="1"/>
  <c r="BE57" i="4"/>
  <c r="BP6" i="4"/>
  <c r="BP28" i="4" s="1"/>
  <c r="BM103" i="4"/>
  <c r="BM104" i="4"/>
  <c r="AH70" i="4" s="1"/>
  <c r="G8" i="4"/>
  <c r="BK128" i="4"/>
  <c r="BK129" i="4"/>
  <c r="AF85" i="4" s="1"/>
  <c r="BK83" i="4"/>
  <c r="AF57" i="4" s="1"/>
  <c r="BK82" i="4"/>
  <c r="BK60" i="4"/>
  <c r="AF43" i="4" s="1"/>
  <c r="BK59" i="4"/>
  <c r="BG106" i="4"/>
  <c r="AB71" i="4" s="1"/>
  <c r="BG105" i="4"/>
  <c r="Z10" i="4"/>
  <c r="BE130" i="4"/>
  <c r="BE131" i="4"/>
  <c r="Z86" i="4" s="1"/>
  <c r="BE84" i="4"/>
  <c r="BE62" i="4"/>
  <c r="Z44" i="4" s="1"/>
  <c r="BE85" i="4"/>
  <c r="Z58" i="4" s="1"/>
  <c r="BE61" i="4"/>
  <c r="BP10" i="4"/>
  <c r="BM107" i="4"/>
  <c r="BM108" i="4"/>
  <c r="AH72" i="4" s="1"/>
  <c r="BK87" i="4"/>
  <c r="AF59" i="4" s="1"/>
  <c r="BK86" i="4"/>
  <c r="BK132" i="4"/>
  <c r="BK63" i="4"/>
  <c r="BK64" i="4"/>
  <c r="AF45" i="4" s="1"/>
  <c r="BK133" i="4"/>
  <c r="AF87" i="4" s="1"/>
  <c r="BG110" i="4"/>
  <c r="AB73" i="4" s="1"/>
  <c r="BG109" i="4"/>
  <c r="Z14" i="4"/>
  <c r="BE89" i="4"/>
  <c r="Z60" i="4" s="1"/>
  <c r="BE134" i="4"/>
  <c r="BE135" i="4"/>
  <c r="Z88" i="4" s="1"/>
  <c r="BE65" i="4"/>
  <c r="BE66" i="4"/>
  <c r="Z46" i="4" s="1"/>
  <c r="BE88" i="4"/>
  <c r="BP14" i="4"/>
  <c r="BM111" i="4"/>
  <c r="BM112" i="4"/>
  <c r="AH74" i="4" s="1"/>
  <c r="BM15" i="4"/>
  <c r="BK136" i="4"/>
  <c r="BK137" i="4"/>
  <c r="AF89" i="4" s="1"/>
  <c r="BK90" i="4"/>
  <c r="BK91" i="4"/>
  <c r="AF61" i="4" s="1"/>
  <c r="BK67" i="4"/>
  <c r="BG114" i="4"/>
  <c r="AB75" i="4" s="1"/>
  <c r="BG113" i="4"/>
  <c r="Z18" i="4"/>
  <c r="BE138" i="4"/>
  <c r="BE69" i="4"/>
  <c r="BE139" i="4"/>
  <c r="Z90" i="4" s="1"/>
  <c r="BE92" i="4"/>
  <c r="BE93" i="4"/>
  <c r="Z62" i="4" s="1"/>
  <c r="BE70" i="4"/>
  <c r="Z48" i="4" s="1"/>
  <c r="BM115" i="4"/>
  <c r="BM116" i="4"/>
  <c r="AH76" i="4" s="1"/>
  <c r="AS20" i="4"/>
  <c r="BB14" i="4" s="1"/>
  <c r="BH20" i="4"/>
  <c r="AO21" i="4"/>
  <c r="BE21" i="4"/>
  <c r="BE59" i="4"/>
  <c r="BK66" i="4"/>
  <c r="AF46" i="4" s="1"/>
  <c r="AJ4" i="4"/>
  <c r="AJ20" i="4" s="1"/>
  <c r="BL124" i="4"/>
  <c r="BL140" i="4" s="1"/>
  <c r="BH102" i="4"/>
  <c r="BH5" i="4"/>
  <c r="BF126" i="4"/>
  <c r="BF81" i="4"/>
  <c r="AA56" i="4" s="1"/>
  <c r="BF80" i="4"/>
  <c r="BF127" i="4"/>
  <c r="AA84" i="4" s="1"/>
  <c r="BF58" i="4"/>
  <c r="AA42" i="4" s="1"/>
  <c r="BF57" i="4"/>
  <c r="BE6" i="4"/>
  <c r="BN103" i="4"/>
  <c r="BN104" i="4"/>
  <c r="AI70" i="4" s="1"/>
  <c r="BL129" i="4"/>
  <c r="AG85" i="4" s="1"/>
  <c r="BL128" i="4"/>
  <c r="BL83" i="4"/>
  <c r="AG57" i="4" s="1"/>
  <c r="BL82" i="4"/>
  <c r="BL60" i="4"/>
  <c r="AG43" i="4" s="1"/>
  <c r="BL59" i="4"/>
  <c r="BH105" i="4"/>
  <c r="BH106" i="4"/>
  <c r="AC71" i="4" s="1"/>
  <c r="BH9" i="4"/>
  <c r="BF130" i="4"/>
  <c r="BF85" i="4"/>
  <c r="AA58" i="4" s="1"/>
  <c r="BF131" i="4"/>
  <c r="AA86" i="4" s="1"/>
  <c r="BF84" i="4"/>
  <c r="BF62" i="4"/>
  <c r="AA44" i="4" s="1"/>
  <c r="BE10" i="4"/>
  <c r="BN107" i="4"/>
  <c r="BN108" i="4"/>
  <c r="AI72" i="4" s="1"/>
  <c r="BL133" i="4"/>
  <c r="AG87" i="4" s="1"/>
  <c r="BL132" i="4"/>
  <c r="BL87" i="4"/>
  <c r="AG59" i="4" s="1"/>
  <c r="BL86" i="4"/>
  <c r="BL64" i="4"/>
  <c r="AG45" i="4" s="1"/>
  <c r="BL63" i="4"/>
  <c r="BH109" i="4"/>
  <c r="BH110" i="4"/>
  <c r="AC73" i="4" s="1"/>
  <c r="BF134" i="4"/>
  <c r="BF135" i="4"/>
  <c r="AA88" i="4" s="1"/>
  <c r="BF88" i="4"/>
  <c r="BF65" i="4"/>
  <c r="BF89" i="4"/>
  <c r="AA60" i="4" s="1"/>
  <c r="BF66" i="4"/>
  <c r="AA46" i="4" s="1"/>
  <c r="BE14" i="4"/>
  <c r="BN111" i="4"/>
  <c r="BN112" i="4"/>
  <c r="AI74" i="4" s="1"/>
  <c r="BN15" i="4"/>
  <c r="BL137" i="4"/>
  <c r="AG89" i="4" s="1"/>
  <c r="BL136" i="4"/>
  <c r="BL90" i="4"/>
  <c r="BL68" i="4"/>
  <c r="AG47" i="4" s="1"/>
  <c r="BL67" i="4"/>
  <c r="BL91" i="4"/>
  <c r="AG61" i="4" s="1"/>
  <c r="BH113" i="4"/>
  <c r="BH114" i="4"/>
  <c r="AC75" i="4" s="1"/>
  <c r="BF138" i="4"/>
  <c r="BF69" i="4"/>
  <c r="BF139" i="4"/>
  <c r="AA90" i="4" s="1"/>
  <c r="BF92" i="4"/>
  <c r="BF93" i="4"/>
  <c r="AA62" i="4" s="1"/>
  <c r="BF70" i="4"/>
  <c r="AA48" i="4" s="1"/>
  <c r="BN115" i="4"/>
  <c r="BN116" i="4"/>
  <c r="AI76" i="4" s="1"/>
  <c r="AT20" i="4"/>
  <c r="BJ78" i="4" s="1"/>
  <c r="BJ94" i="4" s="1"/>
  <c r="BI20" i="4"/>
  <c r="AP21" i="4"/>
  <c r="BF17" i="4" s="1"/>
  <c r="BF39" i="4" s="1"/>
  <c r="BF21" i="4"/>
  <c r="BF43" i="4" s="1"/>
  <c r="AZ22" i="4"/>
  <c r="BK68" i="4"/>
  <c r="AF47" i="4" s="1"/>
  <c r="BP108" i="4"/>
  <c r="AK72" i="4" s="1"/>
  <c r="BP107" i="4"/>
  <c r="BP11" i="4"/>
  <c r="BP33" i="4" s="1"/>
  <c r="V12" i="4"/>
  <c r="BN87" i="4"/>
  <c r="AI59" i="4" s="1"/>
  <c r="BN86" i="4"/>
  <c r="BN132" i="4"/>
  <c r="BN133" i="4"/>
  <c r="AI87" i="4" s="1"/>
  <c r="BJ109" i="4"/>
  <c r="BJ110" i="4"/>
  <c r="AE73" i="4" s="1"/>
  <c r="BH88" i="4"/>
  <c r="BH66" i="4"/>
  <c r="AC46" i="4" s="1"/>
  <c r="BH65" i="4"/>
  <c r="BH134" i="4"/>
  <c r="BH135" i="4"/>
  <c r="AC88" i="4" s="1"/>
  <c r="BH89" i="4"/>
  <c r="AC60" i="4" s="1"/>
  <c r="BG14" i="4"/>
  <c r="BG18" i="4" s="1"/>
  <c r="BP111" i="4"/>
  <c r="BP112" i="4"/>
  <c r="AK74" i="4" s="1"/>
  <c r="BP15" i="4"/>
  <c r="V16" i="4"/>
  <c r="BN90" i="4"/>
  <c r="BN136" i="4"/>
  <c r="BN137" i="4"/>
  <c r="AI89" i="4" s="1"/>
  <c r="BN68" i="4"/>
  <c r="AI47" i="4" s="1"/>
  <c r="BN67" i="4"/>
  <c r="BN91" i="4"/>
  <c r="AI61" i="4" s="1"/>
  <c r="BM16" i="4"/>
  <c r="BM38" i="4" s="1"/>
  <c r="BJ113" i="4"/>
  <c r="BJ114" i="4"/>
  <c r="AE75" i="4" s="1"/>
  <c r="BH93" i="4"/>
  <c r="AC62" i="4" s="1"/>
  <c r="BH92" i="4"/>
  <c r="BH139" i="4"/>
  <c r="AC90" i="4" s="1"/>
  <c r="BH70" i="4"/>
  <c r="AC48" i="4" s="1"/>
  <c r="BH138" i="4"/>
  <c r="BH69" i="4"/>
  <c r="BP115" i="4"/>
  <c r="BP116" i="4"/>
  <c r="AK76" i="4" s="1"/>
  <c r="BP19" i="4"/>
  <c r="AV20" i="4"/>
  <c r="BL125" i="4" s="1"/>
  <c r="BK20" i="4"/>
  <c r="BK23" i="4" s="1"/>
  <c r="AR21" i="4"/>
  <c r="BH17" i="4" s="1"/>
  <c r="BH39" i="4" s="1"/>
  <c r="BH21" i="4"/>
  <c r="BH43" i="4" s="1"/>
  <c r="AP22" i="4"/>
  <c r="BE22" i="4"/>
  <c r="BO62" i="4"/>
  <c r="AJ44" i="4" s="1"/>
  <c r="BP70" i="4"/>
  <c r="AK48" i="4" s="1"/>
  <c r="BN129" i="4"/>
  <c r="AI85" i="4" s="1"/>
  <c r="BN83" i="4"/>
  <c r="AI57" i="4" s="1"/>
  <c r="BN82" i="4"/>
  <c r="BN60" i="4"/>
  <c r="AI43" i="4" s="1"/>
  <c r="BN128" i="4"/>
  <c r="BN59" i="4"/>
  <c r="BJ106" i="4"/>
  <c r="AE71" i="4" s="1"/>
  <c r="BJ105" i="4"/>
  <c r="BH130" i="4"/>
  <c r="BH85" i="4"/>
  <c r="AC58" i="4" s="1"/>
  <c r="BH84" i="4"/>
  <c r="BH131" i="4"/>
  <c r="AC86" i="4" s="1"/>
  <c r="BH62" i="4"/>
  <c r="AC44" i="4" s="1"/>
  <c r="BH61" i="4"/>
  <c r="BO124" i="4"/>
  <c r="BO125" i="4"/>
  <c r="BO79" i="4"/>
  <c r="BO78" i="4"/>
  <c r="BO56" i="4"/>
  <c r="BO55" i="4"/>
  <c r="BK5" i="4"/>
  <c r="BK8" i="4" s="1"/>
  <c r="BI127" i="4"/>
  <c r="AD84" i="4" s="1"/>
  <c r="BI81" i="4"/>
  <c r="AD56" i="4" s="1"/>
  <c r="BI80" i="4"/>
  <c r="BI58" i="4"/>
  <c r="AD42" i="4" s="1"/>
  <c r="BI57" i="4"/>
  <c r="BI126" i="4"/>
  <c r="BH6" i="4"/>
  <c r="BH28" i="4" s="1"/>
  <c r="BE104" i="4"/>
  <c r="Z70" i="4" s="1"/>
  <c r="BE103" i="4"/>
  <c r="BO83" i="4"/>
  <c r="AJ57" i="4" s="1"/>
  <c r="BO82" i="4"/>
  <c r="BO128" i="4"/>
  <c r="BO60" i="4"/>
  <c r="AJ43" i="4" s="1"/>
  <c r="BO129" i="4"/>
  <c r="AJ85" i="4" s="1"/>
  <c r="BO59" i="4"/>
  <c r="BK106" i="4"/>
  <c r="AF71" i="4" s="1"/>
  <c r="BK105" i="4"/>
  <c r="BK9" i="4"/>
  <c r="BK13" i="4" s="1"/>
  <c r="BI130" i="4"/>
  <c r="BI85" i="4"/>
  <c r="AD58" i="4" s="1"/>
  <c r="BI84" i="4"/>
  <c r="BI131" i="4"/>
  <c r="AD86" i="4" s="1"/>
  <c r="BI62" i="4"/>
  <c r="AD44" i="4" s="1"/>
  <c r="BI61" i="4"/>
  <c r="BH10" i="4"/>
  <c r="BE107" i="4"/>
  <c r="BE108" i="4"/>
  <c r="Z72" i="4" s="1"/>
  <c r="BE11" i="4"/>
  <c r="BO87" i="4"/>
  <c r="AJ59" i="4" s="1"/>
  <c r="BO86" i="4"/>
  <c r="BO132" i="4"/>
  <c r="BO133" i="4"/>
  <c r="AJ87" i="4" s="1"/>
  <c r="BO64" i="4"/>
  <c r="AJ45" i="4" s="1"/>
  <c r="BO63" i="4"/>
  <c r="BK109" i="4"/>
  <c r="BK110" i="4"/>
  <c r="AF73" i="4" s="1"/>
  <c r="BI66" i="4"/>
  <c r="AD46" i="4" s="1"/>
  <c r="BI65" i="4"/>
  <c r="BI134" i="4"/>
  <c r="BI135" i="4"/>
  <c r="AD88" i="4" s="1"/>
  <c r="BI88" i="4"/>
  <c r="BI89" i="4"/>
  <c r="AD60" i="4" s="1"/>
  <c r="BH14" i="4"/>
  <c r="BH18" i="4" s="1"/>
  <c r="BE111" i="4"/>
  <c r="BE112" i="4"/>
  <c r="Z74" i="4" s="1"/>
  <c r="BE15" i="4"/>
  <c r="BO136" i="4"/>
  <c r="BO137" i="4"/>
  <c r="AJ89" i="4" s="1"/>
  <c r="BO90" i="4"/>
  <c r="BO68" i="4"/>
  <c r="AJ47" i="4" s="1"/>
  <c r="BO67" i="4"/>
  <c r="BO91" i="4"/>
  <c r="AJ61" i="4" s="1"/>
  <c r="BN16" i="4"/>
  <c r="BN38" i="4" s="1"/>
  <c r="BK113" i="4"/>
  <c r="BK114" i="4"/>
  <c r="AF75" i="4" s="1"/>
  <c r="BI139" i="4"/>
  <c r="AD90" i="4" s="1"/>
  <c r="BI92" i="4"/>
  <c r="BI70" i="4"/>
  <c r="AD48" i="4" s="1"/>
  <c r="BI93" i="4"/>
  <c r="AD62" i="4" s="1"/>
  <c r="BI69" i="4"/>
  <c r="BI138" i="4"/>
  <c r="BE116" i="4"/>
  <c r="Z76" i="4" s="1"/>
  <c r="BE115" i="4"/>
  <c r="BE19" i="4"/>
  <c r="BL20" i="4"/>
  <c r="AS21" i="4"/>
  <c r="BI17" i="4" s="1"/>
  <c r="BI39" i="4" s="1"/>
  <c r="BI21" i="4"/>
  <c r="BI43" i="4" s="1"/>
  <c r="BK57" i="4"/>
  <c r="K70" i="6"/>
  <c r="P70" i="6"/>
  <c r="P185" i="6"/>
  <c r="K185" i="6"/>
  <c r="P34" i="6"/>
  <c r="K34" i="6"/>
  <c r="I169" i="6"/>
  <c r="N169" i="6"/>
  <c r="P142" i="6"/>
  <c r="K142" i="6"/>
  <c r="P131" i="6"/>
  <c r="K131" i="6"/>
  <c r="K6" i="6"/>
  <c r="P6" i="6"/>
  <c r="I116" i="6"/>
  <c r="N116" i="6"/>
  <c r="P60" i="6"/>
  <c r="N158" i="6"/>
  <c r="N8" i="6"/>
  <c r="K88" i="6"/>
  <c r="I14" i="6"/>
  <c r="P114" i="6"/>
  <c r="P167" i="6"/>
  <c r="I26" i="6"/>
  <c r="I122" i="6"/>
  <c r="N50" i="6"/>
  <c r="I133" i="6"/>
  <c r="O32" i="6"/>
  <c r="O44" i="6"/>
  <c r="J80" i="6"/>
  <c r="O86" i="6"/>
  <c r="J122" i="6"/>
  <c r="J133" i="6"/>
  <c r="J176" i="6"/>
  <c r="J187" i="6"/>
  <c r="N24" i="6"/>
  <c r="P32" i="6"/>
  <c r="N34" i="6"/>
  <c r="P44" i="6"/>
  <c r="N78" i="6"/>
  <c r="P86" i="6"/>
  <c r="N88" i="6"/>
  <c r="P98" i="6"/>
  <c r="N131" i="6"/>
  <c r="P140" i="6"/>
  <c r="N142" i="6"/>
  <c r="P151" i="6"/>
  <c r="N185" i="6"/>
  <c r="P194" i="6"/>
  <c r="N196" i="6"/>
  <c r="J6" i="6"/>
  <c r="J16" i="6"/>
  <c r="O34" i="6"/>
  <c r="J60" i="6"/>
  <c r="J70" i="6"/>
  <c r="O78" i="6"/>
  <c r="O88" i="6"/>
  <c r="O131" i="6"/>
  <c r="O142" i="6"/>
  <c r="O185" i="6"/>
  <c r="O196" i="6"/>
  <c r="J104" i="6"/>
  <c r="J42" i="6"/>
  <c r="J52" i="6"/>
  <c r="BL141" i="4" l="1"/>
  <c r="AG83" i="4"/>
  <c r="AG91" i="4" s="1"/>
  <c r="BH95" i="4"/>
  <c r="AC55" i="4"/>
  <c r="AC63" i="4" s="1"/>
  <c r="BN72" i="4"/>
  <c r="AI41" i="4"/>
  <c r="AI49" i="4" s="1"/>
  <c r="BI13" i="4"/>
  <c r="BG141" i="4"/>
  <c r="AB83" i="4"/>
  <c r="AB91" i="4" s="1"/>
  <c r="BO13" i="4"/>
  <c r="BE27" i="4"/>
  <c r="BE26" i="4"/>
  <c r="BM142" i="4"/>
  <c r="AH92" i="4" s="1"/>
  <c r="BH23" i="4"/>
  <c r="BK42" i="4"/>
  <c r="BK41" i="4"/>
  <c r="BK26" i="4"/>
  <c r="BK27" i="4"/>
  <c r="BF101" i="4"/>
  <c r="BF117" i="4" s="1"/>
  <c r="BF141" i="4"/>
  <c r="AA83" i="4"/>
  <c r="AA91" i="4" s="1"/>
  <c r="BJ118" i="4"/>
  <c r="AE69" i="4"/>
  <c r="AE77" i="4" s="1"/>
  <c r="BQ19" i="4"/>
  <c r="BR19" i="4" s="1"/>
  <c r="BE23" i="4"/>
  <c r="BB22" i="4"/>
  <c r="M25" i="4" s="1"/>
  <c r="BK94" i="4"/>
  <c r="R16" i="4"/>
  <c r="BL79" i="4"/>
  <c r="BB18" i="4"/>
  <c r="AF55" i="4"/>
  <c r="AF63" i="4" s="1"/>
  <c r="BK95" i="4"/>
  <c r="BI56" i="4"/>
  <c r="BH56" i="4"/>
  <c r="BN102" i="4"/>
  <c r="BM102" i="4"/>
  <c r="BJ18" i="4"/>
  <c r="AH10" i="4"/>
  <c r="AL72" i="4" s="1"/>
  <c r="AB29" i="4" s="1"/>
  <c r="AM10" i="4"/>
  <c r="AL86" i="4" s="1"/>
  <c r="AC29" i="4" s="1"/>
  <c r="BM56" i="4"/>
  <c r="BL142" i="4"/>
  <c r="AG92" i="4" s="1"/>
  <c r="BN71" i="4"/>
  <c r="BN73" i="4" s="1"/>
  <c r="AI50" i="4" s="1"/>
  <c r="BM94" i="4"/>
  <c r="BK102" i="4"/>
  <c r="BE44" i="4"/>
  <c r="BB10" i="4"/>
  <c r="BK140" i="4"/>
  <c r="BK142" i="4" s="1"/>
  <c r="AF92" i="4" s="1"/>
  <c r="BF102" i="4"/>
  <c r="BI79" i="4"/>
  <c r="BH125" i="4"/>
  <c r="BE34" i="4"/>
  <c r="BO22" i="4"/>
  <c r="BO44" i="4" s="1"/>
  <c r="BO12" i="4"/>
  <c r="BO34" i="4" s="1"/>
  <c r="BO7" i="4"/>
  <c r="BO29" i="4" s="1"/>
  <c r="BL102" i="4"/>
  <c r="X16" i="4"/>
  <c r="AL47" i="4" s="1"/>
  <c r="Z32" i="4" s="1"/>
  <c r="AC12" i="4"/>
  <c r="AL59" i="4" s="1"/>
  <c r="AA30" i="4" s="1"/>
  <c r="AD30" i="4" s="1"/>
  <c r="AH14" i="4"/>
  <c r="AL74" i="4" s="1"/>
  <c r="AB31" i="4" s="1"/>
  <c r="BN78" i="4"/>
  <c r="BN94" i="4" s="1"/>
  <c r="BN96" i="4" s="1"/>
  <c r="AI64" i="4" s="1"/>
  <c r="BM55" i="4"/>
  <c r="BM71" i="4" s="1"/>
  <c r="BM79" i="4"/>
  <c r="BQ14" i="4"/>
  <c r="BR14" i="4" s="1"/>
  <c r="BL37" i="4"/>
  <c r="BL36" i="4"/>
  <c r="BE13" i="4"/>
  <c r="BQ9" i="4"/>
  <c r="BR9" i="4" s="1"/>
  <c r="AC16" i="4"/>
  <c r="AL61" i="4" s="1"/>
  <c r="AA32" i="4" s="1"/>
  <c r="BI71" i="4"/>
  <c r="BE94" i="4"/>
  <c r="BE96" i="4" s="1"/>
  <c r="Z64" i="4" s="1"/>
  <c r="X30" i="4"/>
  <c r="A12" i="4"/>
  <c r="BN95" i="4"/>
  <c r="AI55" i="4"/>
  <c r="AI63" i="4" s="1"/>
  <c r="BM141" i="4"/>
  <c r="AH83" i="4"/>
  <c r="AH91" i="4" s="1"/>
  <c r="BO71" i="4"/>
  <c r="BO73" i="4" s="1"/>
  <c r="AJ50" i="4" s="1"/>
  <c r="BJ56" i="4"/>
  <c r="BI125" i="4"/>
  <c r="BH78" i="4"/>
  <c r="BH94" i="4" s="1"/>
  <c r="BH96" i="4" s="1"/>
  <c r="AC64" i="4" s="1"/>
  <c r="BF55" i="4"/>
  <c r="BF71" i="4" s="1"/>
  <c r="BE95" i="4"/>
  <c r="Z55" i="4"/>
  <c r="Z63" i="4" s="1"/>
  <c r="BP56" i="4"/>
  <c r="BQ16" i="4"/>
  <c r="BR16" i="4" s="1"/>
  <c r="M31" i="4"/>
  <c r="M24" i="4"/>
  <c r="Q20" i="4"/>
  <c r="AM18" i="4"/>
  <c r="AL90" i="4" s="1"/>
  <c r="AC33" i="4" s="1"/>
  <c r="BJ101" i="4"/>
  <c r="BJ117" i="4" s="1"/>
  <c r="BJ119" i="4" s="1"/>
  <c r="AE78" i="4" s="1"/>
  <c r="BG56" i="4"/>
  <c r="BI18" i="4"/>
  <c r="BN125" i="4"/>
  <c r="BF8" i="4"/>
  <c r="BP71" i="4"/>
  <c r="BO72" i="4"/>
  <c r="AJ41" i="4"/>
  <c r="AJ49" i="4" s="1"/>
  <c r="BJ12" i="4"/>
  <c r="BJ34" i="4" s="1"/>
  <c r="BJ7" i="4"/>
  <c r="BJ29" i="4" s="1"/>
  <c r="BJ22" i="4"/>
  <c r="BJ79" i="4"/>
  <c r="BI124" i="4"/>
  <c r="BI140" i="4" s="1"/>
  <c r="AH16" i="4"/>
  <c r="AL75" i="4" s="1"/>
  <c r="AB32" i="4" s="1"/>
  <c r="BK18" i="4"/>
  <c r="BF56" i="4"/>
  <c r="BE72" i="4"/>
  <c r="Z41" i="4"/>
  <c r="Z49" i="4" s="1"/>
  <c r="R10" i="4"/>
  <c r="BO18" i="4"/>
  <c r="BQ38" i="4"/>
  <c r="AC18" i="4"/>
  <c r="AL62" i="4" s="1"/>
  <c r="AA33" i="4" s="1"/>
  <c r="AD33" i="4" s="1"/>
  <c r="BG78" i="4"/>
  <c r="BG94" i="4" s="1"/>
  <c r="BN124" i="4"/>
  <c r="BN140" i="4" s="1"/>
  <c r="AM4" i="4"/>
  <c r="X27" i="4"/>
  <c r="A6" i="4"/>
  <c r="X31" i="4"/>
  <c r="A14" i="4"/>
  <c r="BH36" i="4"/>
  <c r="BH37" i="4"/>
  <c r="BO94" i="4"/>
  <c r="BG37" i="4"/>
  <c r="BG36" i="4"/>
  <c r="BQ10" i="4"/>
  <c r="BR10" i="4" s="1"/>
  <c r="BE43" i="4"/>
  <c r="BQ43" i="4" s="1"/>
  <c r="BQ21" i="4"/>
  <c r="BR21" i="4" s="1"/>
  <c r="BP18" i="4"/>
  <c r="BG117" i="4"/>
  <c r="BG119" i="4" s="1"/>
  <c r="AB78" i="4" s="1"/>
  <c r="BJ55" i="4"/>
  <c r="BJ71" i="4" s="1"/>
  <c r="X4" i="4"/>
  <c r="U20" i="4"/>
  <c r="AF20" i="4"/>
  <c r="BP22" i="4"/>
  <c r="BP44" i="4" s="1"/>
  <c r="BP12" i="4"/>
  <c r="BP34" i="4" s="1"/>
  <c r="BP7" i="4"/>
  <c r="BP29" i="4" s="1"/>
  <c r="BF124" i="4"/>
  <c r="BF140" i="4" s="1"/>
  <c r="BF142" i="4" s="1"/>
  <c r="AA92" i="4" s="1"/>
  <c r="BE141" i="4"/>
  <c r="Z83" i="4"/>
  <c r="Z91" i="4" s="1"/>
  <c r="BP79" i="4"/>
  <c r="BO101" i="4"/>
  <c r="BO117" i="4" s="1"/>
  <c r="BG79" i="4"/>
  <c r="BI102" i="4"/>
  <c r="P20" i="4"/>
  <c r="BK32" i="4"/>
  <c r="BK31" i="4"/>
  <c r="BK35" i="4" s="1"/>
  <c r="BO95" i="4"/>
  <c r="AJ55" i="4"/>
  <c r="AJ63" i="4" s="1"/>
  <c r="BH118" i="4"/>
  <c r="AC69" i="4"/>
  <c r="AC77" i="4" s="1"/>
  <c r="AN21" i="4"/>
  <c r="BE17" i="4"/>
  <c r="BG118" i="4"/>
  <c r="AB69" i="4"/>
  <c r="AB77" i="4" s="1"/>
  <c r="BH12" i="4"/>
  <c r="BH34" i="4" s="1"/>
  <c r="BH7" i="4"/>
  <c r="BH29" i="4" s="1"/>
  <c r="BH22" i="4"/>
  <c r="BH44" i="4" s="1"/>
  <c r="BJ125" i="4"/>
  <c r="AN20" i="4"/>
  <c r="BF94" i="4"/>
  <c r="BE140" i="4"/>
  <c r="BE142" i="4" s="1"/>
  <c r="Z92" i="4" s="1"/>
  <c r="BP125" i="4"/>
  <c r="BO102" i="4"/>
  <c r="X6" i="4"/>
  <c r="AL42" i="4" s="1"/>
  <c r="Z27" i="4" s="1"/>
  <c r="X41" i="4"/>
  <c r="X55" i="4" s="1"/>
  <c r="X69" i="4" s="1"/>
  <c r="X83" i="4" s="1"/>
  <c r="C24" i="4"/>
  <c r="BG140" i="4"/>
  <c r="BG142" i="4" s="1"/>
  <c r="AB92" i="4" s="1"/>
  <c r="X14" i="4"/>
  <c r="AL46" i="4" s="1"/>
  <c r="Z31" i="4" s="1"/>
  <c r="BI101" i="4"/>
  <c r="BI117" i="4" s="1"/>
  <c r="L14" i="4"/>
  <c r="R14" i="4"/>
  <c r="M26" i="4" s="1"/>
  <c r="BK141" i="4"/>
  <c r="AF83" i="4"/>
  <c r="AF91" i="4" s="1"/>
  <c r="BN117" i="4"/>
  <c r="BH140" i="4"/>
  <c r="BL7" i="4"/>
  <c r="BL29" i="4" s="1"/>
  <c r="BL22" i="4"/>
  <c r="BL44" i="4" s="1"/>
  <c r="BL12" i="4"/>
  <c r="BL34" i="4" s="1"/>
  <c r="BO141" i="4"/>
  <c r="AJ83" i="4"/>
  <c r="AJ91" i="4" s="1"/>
  <c r="BH101" i="4"/>
  <c r="BH117" i="4" s="1"/>
  <c r="BJ8" i="4"/>
  <c r="BJ124" i="4"/>
  <c r="BJ140" i="4" s="1"/>
  <c r="BQ5" i="4"/>
  <c r="BR5" i="4" s="1"/>
  <c r="BM18" i="4"/>
  <c r="N29" i="3"/>
  <c r="N26" i="3"/>
  <c r="H29" i="3"/>
  <c r="H26" i="3"/>
  <c r="AF22" i="3"/>
  <c r="AF20" i="3"/>
  <c r="AF18" i="3"/>
  <c r="AF16" i="3"/>
  <c r="N28" i="3"/>
  <c r="L28" i="3"/>
  <c r="N25" i="3"/>
  <c r="L25" i="3"/>
  <c r="H31" i="3"/>
  <c r="H28" i="3"/>
  <c r="L30" i="3"/>
  <c r="L27" i="3"/>
  <c r="AF23" i="3"/>
  <c r="AF21" i="3"/>
  <c r="AF19" i="3"/>
  <c r="AF17" i="3"/>
  <c r="H30" i="3"/>
  <c r="H27" i="3"/>
  <c r="U24" i="3"/>
  <c r="L26" i="3"/>
  <c r="N30" i="3"/>
  <c r="L29" i="3"/>
  <c r="N27" i="3"/>
  <c r="BF79" i="4"/>
  <c r="BP124" i="4"/>
  <c r="BP140" i="4" s="1"/>
  <c r="AM6" i="4"/>
  <c r="AL84" i="4" s="1"/>
  <c r="AC27" i="4" s="1"/>
  <c r="AI20" i="4"/>
  <c r="X32" i="4"/>
  <c r="A16" i="4"/>
  <c r="BG8" i="4"/>
  <c r="AM14" i="4"/>
  <c r="AL88" i="4" s="1"/>
  <c r="AC31" i="4" s="1"/>
  <c r="AH6" i="4"/>
  <c r="AL70" i="4" s="1"/>
  <c r="AB27" i="4" s="1"/>
  <c r="BP13" i="4"/>
  <c r="BQ15" i="4"/>
  <c r="BR15" i="4" s="1"/>
  <c r="BK101" i="4"/>
  <c r="BK117" i="4" s="1"/>
  <c r="BQ11" i="4"/>
  <c r="BR11" i="4" s="1"/>
  <c r="BE33" i="4"/>
  <c r="BQ33" i="4" s="1"/>
  <c r="BO140" i="4"/>
  <c r="BO142" i="4" s="1"/>
  <c r="AJ92" i="4" s="1"/>
  <c r="BL55" i="4"/>
  <c r="BL71" i="4" s="1"/>
  <c r="BI12" i="4"/>
  <c r="BI34" i="4" s="1"/>
  <c r="BI22" i="4"/>
  <c r="BI44" i="4" s="1"/>
  <c r="BI7" i="4"/>
  <c r="BK71" i="4"/>
  <c r="BK73" i="4" s="1"/>
  <c r="AF50" i="4" s="1"/>
  <c r="V20" i="4"/>
  <c r="BE102" i="4"/>
  <c r="BQ20" i="4"/>
  <c r="BR20" i="4" s="1"/>
  <c r="AC6" i="4"/>
  <c r="AL56" i="4" s="1"/>
  <c r="AA27" i="4" s="1"/>
  <c r="BG12" i="4"/>
  <c r="BG34" i="4" s="1"/>
  <c r="BG7" i="4"/>
  <c r="BG29" i="4" s="1"/>
  <c r="BG22" i="4"/>
  <c r="BG44" i="4" s="1"/>
  <c r="AC14" i="4"/>
  <c r="AL60" i="4" s="1"/>
  <c r="AA31" i="4" s="1"/>
  <c r="X48" i="4"/>
  <c r="X62" i="4" s="1"/>
  <c r="X76" i="4" s="1"/>
  <c r="X90" i="4" s="1"/>
  <c r="J24" i="4"/>
  <c r="BL56" i="4"/>
  <c r="BB6" i="4"/>
  <c r="BK72" i="4"/>
  <c r="AF41" i="4"/>
  <c r="AF49" i="4" s="1"/>
  <c r="BE101" i="4"/>
  <c r="BE117" i="4" s="1"/>
  <c r="BF22" i="4"/>
  <c r="BF44" i="4" s="1"/>
  <c r="BF7" i="4"/>
  <c r="BF12" i="4"/>
  <c r="BF34" i="4" s="1"/>
  <c r="BB20" i="4"/>
  <c r="AH8" i="4"/>
  <c r="AL71" i="4" s="1"/>
  <c r="AB28" i="4" s="1"/>
  <c r="AD28" i="4" s="1"/>
  <c r="BP101" i="4"/>
  <c r="BP117" i="4" s="1"/>
  <c r="BP119" i="4" s="1"/>
  <c r="AK78" i="4" s="1"/>
  <c r="BO8" i="4"/>
  <c r="AH4" i="4"/>
  <c r="L18" i="4"/>
  <c r="R18" i="4"/>
  <c r="A10" i="4"/>
  <c r="X29" i="4"/>
  <c r="BM23" i="4"/>
  <c r="BE28" i="4"/>
  <c r="BQ28" i="4" s="1"/>
  <c r="BQ6" i="4"/>
  <c r="BR6" i="4" s="1"/>
  <c r="BL78" i="4"/>
  <c r="BL94" i="4" s="1"/>
  <c r="BN18" i="4"/>
  <c r="BH8" i="4"/>
  <c r="BP118" i="4"/>
  <c r="AK69" i="4"/>
  <c r="AK77" i="4" s="1"/>
  <c r="BE71" i="4"/>
  <c r="BE73" i="4" s="1"/>
  <c r="Z50" i="4" s="1"/>
  <c r="BB12" i="4"/>
  <c r="AL55" i="4"/>
  <c r="X10" i="4"/>
  <c r="AL44" i="4" s="1"/>
  <c r="Z29" i="4" s="1"/>
  <c r="AD29" i="4" s="1"/>
  <c r="BN12" i="4"/>
  <c r="BN34" i="4" s="1"/>
  <c r="BN7" i="4"/>
  <c r="BN29" i="4" s="1"/>
  <c r="BN22" i="4"/>
  <c r="BN44" i="4" s="1"/>
  <c r="BN23" i="4"/>
  <c r="X28" i="4"/>
  <c r="A8" i="4"/>
  <c r="BM12" i="4"/>
  <c r="BM34" i="4" s="1"/>
  <c r="BM7" i="4"/>
  <c r="BM29" i="4" s="1"/>
  <c r="BM22" i="4"/>
  <c r="BM44" i="4" s="1"/>
  <c r="BF18" i="4"/>
  <c r="BI118" i="4" l="1"/>
  <c r="AD69" i="4"/>
  <c r="AD77" i="4" s="1"/>
  <c r="AL41" i="4"/>
  <c r="X20" i="4"/>
  <c r="BH40" i="4"/>
  <c r="BL40" i="4"/>
  <c r="BP8" i="4"/>
  <c r="BK96" i="4"/>
  <c r="AF64" i="4" s="1"/>
  <c r="BK30" i="4"/>
  <c r="BG95" i="4"/>
  <c r="AB55" i="4"/>
  <c r="AB63" i="4" s="1"/>
  <c r="BK118" i="4"/>
  <c r="BK119" i="4" s="1"/>
  <c r="AF78" i="4" s="1"/>
  <c r="AF69" i="4"/>
  <c r="AF77" i="4" s="1"/>
  <c r="BL8" i="4"/>
  <c r="M29" i="4"/>
  <c r="M27" i="4"/>
  <c r="M28" i="4"/>
  <c r="BN36" i="4"/>
  <c r="BN40" i="4" s="1"/>
  <c r="BN37" i="4"/>
  <c r="BF27" i="4"/>
  <c r="BF26" i="4"/>
  <c r="Z69" i="4"/>
  <c r="Z77" i="4" s="1"/>
  <c r="Z94" i="4" s="1"/>
  <c r="BE118" i="4"/>
  <c r="AL69" i="4"/>
  <c r="AH20" i="4"/>
  <c r="BL72" i="4"/>
  <c r="AG41" i="4"/>
  <c r="AG49" i="4" s="1"/>
  <c r="BP32" i="4"/>
  <c r="BP31" i="4"/>
  <c r="BP35" i="4" s="1"/>
  <c r="BH142" i="4"/>
  <c r="AC92" i="4" s="1"/>
  <c r="I30" i="3" s="1"/>
  <c r="AD27" i="4"/>
  <c r="BF13" i="4"/>
  <c r="X46" i="4"/>
  <c r="X60" i="4" s="1"/>
  <c r="X74" i="4" s="1"/>
  <c r="X88" i="4" s="1"/>
  <c r="H24" i="4"/>
  <c r="AH69" i="4"/>
  <c r="AH77" i="4" s="1"/>
  <c r="BM118" i="4"/>
  <c r="BM119" i="4" s="1"/>
  <c r="AH78" i="4" s="1"/>
  <c r="BE41" i="4"/>
  <c r="BE42" i="4"/>
  <c r="BK45" i="4"/>
  <c r="BO23" i="4"/>
  <c r="M31" i="3"/>
  <c r="BM37" i="4"/>
  <c r="BM36" i="4"/>
  <c r="AJ69" i="4"/>
  <c r="AJ77" i="4" s="1"/>
  <c r="AJ94" i="4" s="1"/>
  <c r="BO118" i="4"/>
  <c r="BO119" i="4" s="1"/>
  <c r="AJ78" i="4" s="1"/>
  <c r="BE39" i="4"/>
  <c r="BQ39" i="4" s="1"/>
  <c r="BR39" i="4" s="1"/>
  <c r="R37" i="4" s="1"/>
  <c r="BQ17" i="4"/>
  <c r="BR17" i="4" s="1"/>
  <c r="BP95" i="4"/>
  <c r="BP96" i="4" s="1"/>
  <c r="AK64" i="4" s="1"/>
  <c r="AK55" i="4"/>
  <c r="AK63" i="4" s="1"/>
  <c r="AA41" i="4"/>
  <c r="AA49" i="4" s="1"/>
  <c r="BF72" i="4"/>
  <c r="BP72" i="4"/>
  <c r="BP73" i="4" s="1"/>
  <c r="AK50" i="4" s="1"/>
  <c r="AK41" i="4"/>
  <c r="AK49" i="4" s="1"/>
  <c r="BE18" i="4"/>
  <c r="BM13" i="4"/>
  <c r="BN118" i="4"/>
  <c r="BN119" i="4" s="1"/>
  <c r="AI78" i="4" s="1"/>
  <c r="AI69" i="4"/>
  <c r="AI77" i="4" s="1"/>
  <c r="BF23" i="4"/>
  <c r="BI32" i="4"/>
  <c r="BI31" i="4"/>
  <c r="BI35" i="4" s="1"/>
  <c r="BI29" i="4"/>
  <c r="BI8" i="4"/>
  <c r="BK37" i="4"/>
  <c r="BK36" i="4"/>
  <c r="BK40" i="4" s="1"/>
  <c r="X45" i="4"/>
  <c r="X59" i="4" s="1"/>
  <c r="X73" i="4" s="1"/>
  <c r="X87" i="4" s="1"/>
  <c r="G24" i="4"/>
  <c r="BM95" i="4"/>
  <c r="BM96" i="4" s="1"/>
  <c r="AH64" i="4" s="1"/>
  <c r="AH55" i="4"/>
  <c r="AH63" i="4" s="1"/>
  <c r="BQ12" i="4"/>
  <c r="BR12" i="4" s="1"/>
  <c r="BH72" i="4"/>
  <c r="BH73" i="4" s="1"/>
  <c r="AC50" i="4" s="1"/>
  <c r="AC41" i="4"/>
  <c r="AC49" i="4" s="1"/>
  <c r="AC94" i="4" s="1"/>
  <c r="BH42" i="4"/>
  <c r="BH41" i="4"/>
  <c r="BH45" i="4" s="1"/>
  <c r="BG26" i="4"/>
  <c r="BG27" i="4"/>
  <c r="BL13" i="4"/>
  <c r="D24" i="4"/>
  <c r="X42" i="4"/>
  <c r="X56" i="4" s="1"/>
  <c r="X70" i="4" s="1"/>
  <c r="X84" i="4" s="1"/>
  <c r="BN141" i="4"/>
  <c r="AI83" i="4"/>
  <c r="AI91" i="4" s="1"/>
  <c r="BQ34" i="4"/>
  <c r="BR34" i="4" s="1"/>
  <c r="R32" i="4" s="1"/>
  <c r="BI72" i="4"/>
  <c r="BI73" i="4" s="1"/>
  <c r="AD50" i="4" s="1"/>
  <c r="I27" i="3" s="1"/>
  <c r="AD41" i="4"/>
  <c r="AD49" i="4" s="1"/>
  <c r="BL23" i="4"/>
  <c r="AI94" i="4"/>
  <c r="X43" i="4"/>
  <c r="X57" i="4" s="1"/>
  <c r="X71" i="4" s="1"/>
  <c r="X85" i="4" s="1"/>
  <c r="E24" i="4"/>
  <c r="BO26" i="4"/>
  <c r="BO27" i="4"/>
  <c r="BN41" i="4"/>
  <c r="BN42" i="4"/>
  <c r="BJ26" i="4"/>
  <c r="BJ27" i="4"/>
  <c r="BH141" i="4"/>
  <c r="AC83" i="4"/>
  <c r="AC91" i="4" s="1"/>
  <c r="BM72" i="4"/>
  <c r="BM73" i="4" s="1"/>
  <c r="AH50" i="4" s="1"/>
  <c r="AH41" i="4"/>
  <c r="AH49" i="4" s="1"/>
  <c r="BI142" i="4"/>
  <c r="AD92" i="4" s="1"/>
  <c r="BI36" i="4"/>
  <c r="BI37" i="4"/>
  <c r="BF73" i="4"/>
  <c r="AA50" i="4" s="1"/>
  <c r="BL73" i="4"/>
  <c r="AG50" i="4" s="1"/>
  <c r="I24" i="4"/>
  <c r="X47" i="4"/>
  <c r="X61" i="4" s="1"/>
  <c r="X75" i="4" s="1"/>
  <c r="X89" i="4" s="1"/>
  <c r="BH119" i="4"/>
  <c r="AC78" i="4" s="1"/>
  <c r="BN142" i="4"/>
  <c r="AI92" i="4" s="1"/>
  <c r="BJ95" i="4"/>
  <c r="BJ96" i="4" s="1"/>
  <c r="AE64" i="4" s="1"/>
  <c r="AE55" i="4"/>
  <c r="AE63" i="4" s="1"/>
  <c r="BG72" i="4"/>
  <c r="BG73" i="4" s="1"/>
  <c r="AB50" i="4" s="1"/>
  <c r="AB41" i="4"/>
  <c r="AB49" i="4" s="1"/>
  <c r="AB94" i="4" s="1"/>
  <c r="BN13" i="4"/>
  <c r="BI95" i="4"/>
  <c r="BI96" i="4" s="1"/>
  <c r="AD64" i="4" s="1"/>
  <c r="AD55" i="4"/>
  <c r="AD63" i="4" s="1"/>
  <c r="BN8" i="4"/>
  <c r="BQ8" i="4"/>
  <c r="BR8" i="4" s="1"/>
  <c r="AL83" i="4"/>
  <c r="AM20" i="4"/>
  <c r="BF29" i="4"/>
  <c r="BQ7" i="4"/>
  <c r="BR7" i="4" s="1"/>
  <c r="BP23" i="4"/>
  <c r="BI119" i="4"/>
  <c r="AD78" i="4" s="1"/>
  <c r="BG40" i="4"/>
  <c r="BG96" i="4"/>
  <c r="AB64" i="4" s="1"/>
  <c r="BJ44" i="4"/>
  <c r="BQ44" i="4" s="1"/>
  <c r="BR44" i="4" s="1"/>
  <c r="R42" i="4" s="1"/>
  <c r="BJ23" i="4"/>
  <c r="BI141" i="4"/>
  <c r="AD83" i="4"/>
  <c r="AD91" i="4" s="1"/>
  <c r="AA69" i="4"/>
  <c r="AA77" i="4" s="1"/>
  <c r="BF118" i="4"/>
  <c r="BF119" i="4"/>
  <c r="AA78" i="4" s="1"/>
  <c r="BE30" i="4"/>
  <c r="BP141" i="4"/>
  <c r="AK83" i="4"/>
  <c r="AK91" i="4" s="1"/>
  <c r="BP36" i="4"/>
  <c r="BP37" i="4"/>
  <c r="L52" i="4"/>
  <c r="E34" i="3" s="1"/>
  <c r="BB4" i="4"/>
  <c r="AC20" i="4"/>
  <c r="BJ141" i="4"/>
  <c r="BJ142" i="4" s="1"/>
  <c r="AE92" i="4" s="1"/>
  <c r="AE83" i="4"/>
  <c r="AE91" i="4" s="1"/>
  <c r="BL95" i="4"/>
  <c r="BL96" i="4" s="1"/>
  <c r="AG64" i="4" s="1"/>
  <c r="AG55" i="4"/>
  <c r="AG63" i="4" s="1"/>
  <c r="BM8" i="4"/>
  <c r="BM41" i="4"/>
  <c r="BM42" i="4"/>
  <c r="AD31" i="4"/>
  <c r="BJ72" i="4"/>
  <c r="BJ73" i="4" s="1"/>
  <c r="AE50" i="4" s="1"/>
  <c r="AE41" i="4"/>
  <c r="AE49" i="4" s="1"/>
  <c r="BF37" i="4"/>
  <c r="BF36" i="4"/>
  <c r="AA26" i="4"/>
  <c r="AA34" i="4" s="1"/>
  <c r="AL63" i="4"/>
  <c r="X44" i="4"/>
  <c r="X58" i="4" s="1"/>
  <c r="X72" i="4" s="1"/>
  <c r="X86" i="4" s="1"/>
  <c r="F24" i="4"/>
  <c r="BE119" i="4"/>
  <c r="Z78" i="4" s="1"/>
  <c r="R20" i="4"/>
  <c r="BP142" i="4"/>
  <c r="AK92" i="4" s="1"/>
  <c r="BO96" i="4"/>
  <c r="AJ64" i="4" s="1"/>
  <c r="AD32" i="4"/>
  <c r="BG13" i="4"/>
  <c r="BQ13" i="4" s="1"/>
  <c r="BR13" i="4" s="1"/>
  <c r="BH13" i="4"/>
  <c r="BI23" i="4"/>
  <c r="BH27" i="4"/>
  <c r="BH26" i="4"/>
  <c r="BH30" i="4" s="1"/>
  <c r="AF94" i="4"/>
  <c r="BF95" i="4"/>
  <c r="BF96" i="4" s="1"/>
  <c r="AA64" i="4" s="1"/>
  <c r="I28" i="3" s="1"/>
  <c r="AA55" i="4"/>
  <c r="AA63" i="4" s="1"/>
  <c r="BG23" i="4"/>
  <c r="BQ23" i="4" s="1"/>
  <c r="BR23" i="4" s="1"/>
  <c r="BO36" i="4"/>
  <c r="BO37" i="4"/>
  <c r="BE31" i="4"/>
  <c r="BE32" i="4"/>
  <c r="BL118" i="4"/>
  <c r="BL119" i="4" s="1"/>
  <c r="AG78" i="4" s="1"/>
  <c r="AG69" i="4"/>
  <c r="AG77" i="4" s="1"/>
  <c r="BQ22" i="4"/>
  <c r="BR22" i="4" s="1"/>
  <c r="BJ37" i="4"/>
  <c r="BJ36" i="4"/>
  <c r="BO32" i="4"/>
  <c r="BO31" i="4"/>
  <c r="BO35" i="4" s="1"/>
  <c r="BJ13" i="4"/>
  <c r="I26" i="3" l="1"/>
  <c r="BQ27" i="4"/>
  <c r="BR27" i="4" s="1"/>
  <c r="R25" i="4" s="1"/>
  <c r="U25" i="4" s="1"/>
  <c r="BJ40" i="4"/>
  <c r="BM45" i="4"/>
  <c r="BJ30" i="4"/>
  <c r="BE45" i="4"/>
  <c r="BP27" i="4"/>
  <c r="BP26" i="4"/>
  <c r="BP30" i="4" s="1"/>
  <c r="I29" i="3"/>
  <c r="BF41" i="4"/>
  <c r="BF42" i="4"/>
  <c r="BQ42" i="4" s="1"/>
  <c r="BR42" i="4" s="1"/>
  <c r="R40" i="4" s="1"/>
  <c r="U40" i="4" s="1"/>
  <c r="AG94" i="4"/>
  <c r="BJ32" i="4"/>
  <c r="BJ31" i="4"/>
  <c r="BG42" i="4"/>
  <c r="BG41" i="4"/>
  <c r="BG45" i="4" s="1"/>
  <c r="BN31" i="4"/>
  <c r="BN32" i="4"/>
  <c r="BM26" i="4"/>
  <c r="BM27" i="4"/>
  <c r="BQ26" i="4"/>
  <c r="BR26" i="4" s="1"/>
  <c r="R24" i="4" s="1"/>
  <c r="BP41" i="4"/>
  <c r="BP42" i="4"/>
  <c r="BI40" i="4"/>
  <c r="BN45" i="4"/>
  <c r="BL26" i="4"/>
  <c r="BL30" i="4" s="1"/>
  <c r="BL27" i="4"/>
  <c r="BO40" i="4"/>
  <c r="BO30" i="4"/>
  <c r="BM31" i="4"/>
  <c r="BM32" i="4"/>
  <c r="AL77" i="4"/>
  <c r="AB26" i="4"/>
  <c r="AB34" i="4" s="1"/>
  <c r="Z26" i="4"/>
  <c r="AL49" i="4"/>
  <c r="AL94" i="4" s="1"/>
  <c r="BI42" i="4"/>
  <c r="BI41" i="4"/>
  <c r="BL31" i="4"/>
  <c r="BL35" i="4" s="1"/>
  <c r="BL32" i="4"/>
  <c r="BE37" i="4"/>
  <c r="BQ37" i="4" s="1"/>
  <c r="BR37" i="4" s="1"/>
  <c r="R35" i="4" s="1"/>
  <c r="U35" i="4" s="1"/>
  <c r="BE36" i="4"/>
  <c r="BQ18" i="4"/>
  <c r="BR18" i="4" s="1"/>
  <c r="BM40" i="4"/>
  <c r="BQ29" i="4"/>
  <c r="BR29" i="4" s="1"/>
  <c r="R27" i="4" s="1"/>
  <c r="BH31" i="4"/>
  <c r="BH32" i="4"/>
  <c r="BF40" i="4"/>
  <c r="AL91" i="4"/>
  <c r="AC26" i="4"/>
  <c r="AC34" i="4" s="1"/>
  <c r="AH94" i="4"/>
  <c r="AK94" i="4"/>
  <c r="BP40" i="4"/>
  <c r="BE35" i="4"/>
  <c r="BG31" i="4"/>
  <c r="BG32" i="4"/>
  <c r="BF31" i="4"/>
  <c r="BQ31" i="4" s="1"/>
  <c r="BR31" i="4" s="1"/>
  <c r="R29" i="4" s="1"/>
  <c r="BF32" i="4"/>
  <c r="BQ32" i="4" s="1"/>
  <c r="BR32" i="4" s="1"/>
  <c r="R30" i="4" s="1"/>
  <c r="U30" i="4" s="1"/>
  <c r="BF30" i="4"/>
  <c r="AE94" i="4"/>
  <c r="BN26" i="4"/>
  <c r="BN30" i="4" s="1"/>
  <c r="BN27" i="4"/>
  <c r="BL42" i="4"/>
  <c r="BL41" i="4"/>
  <c r="BG30" i="4"/>
  <c r="BO41" i="4"/>
  <c r="BO45" i="4" s="1"/>
  <c r="BO42" i="4"/>
  <c r="BJ42" i="4"/>
  <c r="BJ41" i="4"/>
  <c r="BJ45" i="4" s="1"/>
  <c r="AD94" i="4"/>
  <c r="BI26" i="4"/>
  <c r="BI27" i="4"/>
  <c r="AA94" i="4"/>
  <c r="U29" i="4" l="1"/>
  <c r="BH35" i="4"/>
  <c r="BG35" i="4"/>
  <c r="BP45" i="4"/>
  <c r="BF45" i="4"/>
  <c r="Z34" i="4"/>
  <c r="AD26" i="4"/>
  <c r="AD34" i="4" s="1"/>
  <c r="BL45" i="4"/>
  <c r="BE40" i="4"/>
  <c r="BQ40" i="4" s="1"/>
  <c r="BR40" i="4" s="1"/>
  <c r="BR38" i="4" s="1"/>
  <c r="BQ36" i="4"/>
  <c r="BR36" i="4" s="1"/>
  <c r="R34" i="4" s="1"/>
  <c r="BM30" i="4"/>
  <c r="BQ45" i="4"/>
  <c r="BR45" i="4" s="1"/>
  <c r="BR43" i="4" s="1"/>
  <c r="BN35" i="4"/>
  <c r="BQ41" i="4"/>
  <c r="BR41" i="4" s="1"/>
  <c r="R39" i="4" s="1"/>
  <c r="U24" i="4"/>
  <c r="BF35" i="4"/>
  <c r="BI45" i="4"/>
  <c r="BQ35" i="4"/>
  <c r="BR35" i="4" s="1"/>
  <c r="BR33" i="4" s="1"/>
  <c r="BM35" i="4"/>
  <c r="BI30" i="4"/>
  <c r="BQ30" i="4" s="1"/>
  <c r="BR30" i="4" s="1"/>
  <c r="BR28" i="4" s="1"/>
  <c r="BJ35" i="4"/>
  <c r="R26" i="4" l="1"/>
  <c r="R28" i="4" s="1"/>
  <c r="BS28" i="4"/>
  <c r="R36" i="4"/>
  <c r="BS38" i="4"/>
  <c r="R31" i="4"/>
  <c r="R33" i="4" s="1"/>
  <c r="U33" i="4" s="1"/>
  <c r="BS33" i="4"/>
  <c r="R41" i="4"/>
  <c r="BS43" i="4"/>
  <c r="R43" i="4"/>
  <c r="U43" i="4" s="1"/>
  <c r="U39" i="4"/>
  <c r="U34" i="4"/>
  <c r="P47" i="4" s="1"/>
  <c r="R38" i="4"/>
  <c r="U38" i="4" s="1"/>
  <c r="U28" i="4" l="1"/>
  <c r="R4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takasaki</author>
  </authors>
  <commentList>
    <comment ref="BB2" authorId="0" shapeId="0" xr:uid="{00000000-0006-0000-0100-000003000000}">
      <text>
        <r>
          <rPr>
            <sz val="11"/>
            <color indexed="81"/>
            <rFont val="ＭＳ 明朝"/>
            <family val="1"/>
            <charset val="128"/>
          </rPr>
          <t>被保険者毎の加入月を算出（軽減判定用の賦課期日算出用）</t>
        </r>
      </text>
    </comment>
    <comment ref="AN20" authorId="0" shapeId="0" xr:uid="{00000000-0006-0000-0100-000004000000}">
      <text>
        <r>
          <rPr>
            <sz val="12"/>
            <color indexed="81"/>
            <rFont val="ＭＳ 明朝"/>
            <family val="1"/>
            <charset val="128"/>
          </rPr>
          <t>医療分の平等割を算出する用の加入月数</t>
        </r>
      </text>
    </comment>
    <comment ref="BB20" authorId="0" shapeId="0" xr:uid="{00000000-0006-0000-0100-000001000000}">
      <text>
        <r>
          <rPr>
            <sz val="12"/>
            <color indexed="81"/>
            <rFont val="ＭＳ 明朝"/>
            <family val="1"/>
            <charset val="128"/>
          </rPr>
          <t>軽減判定で利用する計算上の賦課期日</t>
        </r>
      </text>
    </comment>
    <comment ref="AN21" authorId="0" shapeId="0" xr:uid="{00000000-0006-0000-0100-000005000000}">
      <text>
        <r>
          <rPr>
            <sz val="12"/>
            <color indexed="81"/>
            <rFont val="ＭＳ 明朝"/>
            <family val="1"/>
            <charset val="128"/>
          </rPr>
          <t>介護分の平等割を算出する用の加入月数</t>
        </r>
      </text>
    </comment>
    <comment ref="BB22" authorId="0" shapeId="0" xr:uid="{00000000-0006-0000-0100-000002000000}">
      <text>
        <r>
          <rPr>
            <sz val="12"/>
            <color indexed="81"/>
            <rFont val="ＭＳ 明朝"/>
            <family val="1"/>
            <charset val="128"/>
          </rPr>
          <t>軽減判定で利用する計算上の賦課期日現在の被保険者数</t>
        </r>
      </text>
    </comment>
    <comment ref="L52" authorId="0" shapeId="0" xr:uid="{00000000-0006-0000-0100-000006000000}">
      <text>
        <r>
          <rPr>
            <sz val="12"/>
            <color indexed="81"/>
            <rFont val="ＭＳ 明朝"/>
            <family val="1"/>
            <charset val="128"/>
          </rPr>
          <t>軽減判定で加入期間に中抜けがあるかチェック</t>
        </r>
      </text>
    </comment>
  </commentList>
</comments>
</file>

<file path=xl/sharedStrings.xml><?xml version="1.0" encoding="utf-8"?>
<sst xmlns="http://schemas.openxmlformats.org/spreadsheetml/2006/main" count="966" uniqueCount="229">
  <si>
    <t>給与収入</t>
    <rPh sb="0" eb="2">
      <t>キュウヨ</t>
    </rPh>
    <rPh sb="2" eb="4">
      <t>シュウニュウ</t>
    </rPh>
    <phoneticPr fontId="1"/>
  </si>
  <si>
    <t>平等割（円）</t>
    <rPh sb="0" eb="2">
      <t>ビョウドウ</t>
    </rPh>
    <rPh sb="2" eb="3">
      <t>ワリ</t>
    </rPh>
    <rPh sb="4" eb="5">
      <t>エン</t>
    </rPh>
    <phoneticPr fontId="1"/>
  </si>
  <si>
    <t>医療分（月割分で計算。端数処理前）</t>
    <rPh sb="0" eb="2">
      <t>イリョウ</t>
    </rPh>
    <rPh sb="2" eb="3">
      <t>ブン</t>
    </rPh>
    <rPh sb="4" eb="6">
      <t>ツキワ</t>
    </rPh>
    <rPh sb="6" eb="7">
      <t>ブン</t>
    </rPh>
    <rPh sb="8" eb="10">
      <t>ケイサン</t>
    </rPh>
    <rPh sb="11" eb="13">
      <t>ハスウ</t>
    </rPh>
    <rPh sb="13" eb="15">
      <t>ショリ</t>
    </rPh>
    <rPh sb="15" eb="16">
      <t>マエ</t>
    </rPh>
    <phoneticPr fontId="1"/>
  </si>
  <si>
    <t>世帯主及び
国保加入者
の申告状況</t>
    <rPh sb="0" eb="3">
      <t>セタイヌシ</t>
    </rPh>
    <rPh sb="3" eb="4">
      <t>オヨ</t>
    </rPh>
    <rPh sb="6" eb="8">
      <t>コクホ</t>
    </rPh>
    <rPh sb="8" eb="11">
      <t>カニュウシャ</t>
    </rPh>
    <rPh sb="13" eb="15">
      <t>シンコク</t>
    </rPh>
    <rPh sb="15" eb="17">
      <t>ジョウキョウ</t>
    </rPh>
    <phoneticPr fontId="1"/>
  </si>
  <si>
    <r>
      <t>※　この計算は</t>
    </r>
    <r>
      <rPr>
        <b/>
        <u/>
        <sz val="12"/>
        <color indexed="10"/>
        <rFont val="ＭＳ Ｐゴシック"/>
        <family val="3"/>
        <charset val="128"/>
      </rPr>
      <t>分離譲渡所得等</t>
    </r>
    <r>
      <rPr>
        <b/>
        <sz val="11"/>
        <color indexed="18"/>
        <rFont val="ＭＳ Ｐゴシック"/>
        <family val="3"/>
        <charset val="128"/>
      </rPr>
      <t>の申告がある場合には使えません。</t>
    </r>
    <rPh sb="4" eb="6">
      <t>ケイサン</t>
    </rPh>
    <rPh sb="7" eb="9">
      <t>ブンリ</t>
    </rPh>
    <rPh sb="9" eb="11">
      <t>ジョウト</t>
    </rPh>
    <rPh sb="11" eb="13">
      <t>ショトク</t>
    </rPh>
    <rPh sb="13" eb="14">
      <t>トウ</t>
    </rPh>
    <rPh sb="15" eb="17">
      <t>シンコク</t>
    </rPh>
    <rPh sb="20" eb="22">
      <t>バアイ</t>
    </rPh>
    <rPh sb="24" eb="25">
      <t>ツカ</t>
    </rPh>
    <phoneticPr fontId="1"/>
  </si>
  <si>
    <t>適用軽減率</t>
    <rPh sb="0" eb="2">
      <t>テキヨウ</t>
    </rPh>
    <rPh sb="2" eb="4">
      <t>ケイゲン</t>
    </rPh>
    <rPh sb="4" eb="5">
      <t>リツ</t>
    </rPh>
    <phoneticPr fontId="1"/>
  </si>
  <si>
    <t>控除後給与所得</t>
    <rPh sb="0" eb="2">
      <t>コウジョ</t>
    </rPh>
    <rPh sb="2" eb="3">
      <t>ゴ</t>
    </rPh>
    <rPh sb="3" eb="5">
      <t>キュウヨ</t>
    </rPh>
    <rPh sb="5" eb="7">
      <t>ショトク</t>
    </rPh>
    <phoneticPr fontId="1"/>
  </si>
  <si>
    <t>介護税分（月割分で計算。端数処理前）</t>
    <rPh sb="0" eb="2">
      <t>カイゴ</t>
    </rPh>
    <rPh sb="2" eb="3">
      <t>ゼイ</t>
    </rPh>
    <rPh sb="3" eb="4">
      <t>ブン</t>
    </rPh>
    <rPh sb="5" eb="7">
      <t>ツキワ</t>
    </rPh>
    <rPh sb="7" eb="8">
      <t>ブン</t>
    </rPh>
    <rPh sb="9" eb="11">
      <t>ケイサン</t>
    </rPh>
    <rPh sb="12" eb="14">
      <t>ハスウ</t>
    </rPh>
    <rPh sb="14" eb="16">
      <t>ショリ</t>
    </rPh>
    <rPh sb="16" eb="17">
      <t>マエ</t>
    </rPh>
    <phoneticPr fontId="1"/>
  </si>
  <si>
    <t>⑤固定
資産税額</t>
    <rPh sb="1" eb="3">
      <t>コテイ</t>
    </rPh>
    <rPh sb="4" eb="6">
      <t>シサン</t>
    </rPh>
    <rPh sb="6" eb="8">
      <t>ゼイガク</t>
    </rPh>
    <phoneticPr fontId="1"/>
  </si>
  <si>
    <t>介護
課税標準</t>
    <rPh sb="0" eb="2">
      <t>カイゴ</t>
    </rPh>
    <rPh sb="3" eb="5">
      <t>カゼイ</t>
    </rPh>
    <rPh sb="5" eb="7">
      <t>ヒョウジュン</t>
    </rPh>
    <phoneticPr fontId="1"/>
  </si>
  <si>
    <t>所得割（％）</t>
    <rPh sb="0" eb="2">
      <t>ショトク</t>
    </rPh>
    <rPh sb="2" eb="3">
      <t>ワリ</t>
    </rPh>
    <phoneticPr fontId="1"/>
  </si>
  <si>
    <t>平 等 割</t>
    <rPh sb="0" eb="1">
      <t>タイラ</t>
    </rPh>
    <rPh sb="2" eb="3">
      <t>トウ</t>
    </rPh>
    <rPh sb="4" eb="5">
      <t>ワリ</t>
    </rPh>
    <phoneticPr fontId="1"/>
  </si>
  <si>
    <t>資産割（％）</t>
    <rPh sb="0" eb="2">
      <t>シサン</t>
    </rPh>
    <rPh sb="2" eb="3">
      <t>ワリ</t>
    </rPh>
    <phoneticPr fontId="1"/>
  </si>
  <si>
    <t>最高限度額（円）</t>
    <rPh sb="0" eb="2">
      <t>サイコウ</t>
    </rPh>
    <rPh sb="2" eb="4">
      <t>ゲンド</t>
    </rPh>
    <rPh sb="4" eb="5">
      <t>ガク</t>
    </rPh>
    <rPh sb="6" eb="7">
      <t>エン</t>
    </rPh>
    <phoneticPr fontId="1"/>
  </si>
  <si>
    <t>給与所得者等該当</t>
    <rPh sb="0" eb="2">
      <t>キュウヨ</t>
    </rPh>
    <rPh sb="2" eb="4">
      <t>ショトク</t>
    </rPh>
    <rPh sb="4" eb="5">
      <t>シャ</t>
    </rPh>
    <rPh sb="5" eb="6">
      <t>トウ</t>
    </rPh>
    <rPh sb="6" eb="8">
      <t>ガイトウ</t>
    </rPh>
    <phoneticPr fontId="1"/>
  </si>
  <si>
    <t>収入の範囲</t>
    <rPh sb="0" eb="2">
      <t>シュウニュウ</t>
    </rPh>
    <rPh sb="3" eb="5">
      <t>ハンイ</t>
    </rPh>
    <phoneticPr fontId="1"/>
  </si>
  <si>
    <t>介護分</t>
    <rPh sb="0" eb="2">
      <t>カイゴ</t>
    </rPh>
    <rPh sb="2" eb="3">
      <t>ブン</t>
    </rPh>
    <phoneticPr fontId="1"/>
  </si>
  <si>
    <t>均等割（円）</t>
    <rPh sb="0" eb="3">
      <t>キントウワ</t>
    </rPh>
    <rPh sb="4" eb="5">
      <t>エン</t>
    </rPh>
    <phoneticPr fontId="1"/>
  </si>
  <si>
    <t>医療分</t>
    <rPh sb="0" eb="2">
      <t>イリョウ</t>
    </rPh>
    <rPh sb="2" eb="3">
      <t>ブン</t>
    </rPh>
    <phoneticPr fontId="1"/>
  </si>
  <si>
    <t>年金所得</t>
    <rPh sb="0" eb="2">
      <t>ネンキン</t>
    </rPh>
    <rPh sb="2" eb="4">
      <t>ショトク</t>
    </rPh>
    <phoneticPr fontId="1"/>
  </si>
  <si>
    <t>年金軽減判定加算額</t>
    <rPh sb="0" eb="2">
      <t>ネンキン</t>
    </rPh>
    <rPh sb="2" eb="4">
      <t>ケイゲン</t>
    </rPh>
    <rPh sb="4" eb="6">
      <t>ハンテイ</t>
    </rPh>
    <rPh sb="6" eb="9">
      <t>カサンガク</t>
    </rPh>
    <phoneticPr fontId="1"/>
  </si>
  <si>
    <t>後期支援分</t>
    <rPh sb="0" eb="2">
      <t>コウキ</t>
    </rPh>
    <rPh sb="2" eb="4">
      <t>シエン</t>
    </rPh>
    <rPh sb="4" eb="5">
      <t>ブン</t>
    </rPh>
    <phoneticPr fontId="1"/>
  </si>
  <si>
    <t>65歳以上</t>
    <rPh sb="2" eb="3">
      <t>サイ</t>
    </rPh>
    <rPh sb="3" eb="5">
      <t>イジョウ</t>
    </rPh>
    <phoneticPr fontId="1"/>
  </si>
  <si>
    <t>加算</t>
    <rPh sb="0" eb="2">
      <t>カサン</t>
    </rPh>
    <phoneticPr fontId="1"/>
  </si>
  <si>
    <t>その他所得</t>
    <rPh sb="2" eb="3">
      <t>タ</t>
    </rPh>
    <rPh sb="3" eb="5">
      <t>ショトク</t>
    </rPh>
    <phoneticPr fontId="1"/>
  </si>
  <si>
    <t>※下記の点に注意して入力してください。</t>
    <rPh sb="1" eb="3">
      <t>カキ</t>
    </rPh>
    <rPh sb="4" eb="5">
      <t>テン</t>
    </rPh>
    <rPh sb="6" eb="8">
      <t>チュウイ</t>
    </rPh>
    <rPh sb="10" eb="12">
      <t>ニュウリョク</t>
    </rPh>
    <phoneticPr fontId="1"/>
  </si>
  <si>
    <t>⑥年度途中
加入月</t>
    <rPh sb="1" eb="3">
      <t>ネンド</t>
    </rPh>
    <rPh sb="3" eb="4">
      <t>ト</t>
    </rPh>
    <rPh sb="4" eb="5">
      <t>ナカ</t>
    </rPh>
    <rPh sb="6" eb="8">
      <t>カニュウ</t>
    </rPh>
    <rPh sb="8" eb="9">
      <t>ツキ</t>
    </rPh>
    <phoneticPr fontId="1"/>
  </si>
  <si>
    <t>申告区分</t>
    <rPh sb="0" eb="2">
      <t>シンコク</t>
    </rPh>
    <rPh sb="2" eb="4">
      <t>クブン</t>
    </rPh>
    <phoneticPr fontId="1"/>
  </si>
  <si>
    <t>2
月</t>
    <rPh sb="2" eb="3">
      <t>ガツ</t>
    </rPh>
    <phoneticPr fontId="1"/>
  </si>
  <si>
    <r>
      <t>　　 計算結果は</t>
    </r>
    <r>
      <rPr>
        <b/>
        <sz val="11"/>
        <color indexed="53"/>
        <rFont val="ＭＳ Ｐゴシック"/>
        <family val="3"/>
        <charset val="128"/>
      </rPr>
      <t>概算</t>
    </r>
    <r>
      <rPr>
        <b/>
        <sz val="11"/>
        <color indexed="18"/>
        <rFont val="ＭＳ Ｐゴシック"/>
        <family val="3"/>
        <charset val="128"/>
      </rPr>
      <t>となります。実際の税額と違う場合があります。</t>
    </r>
    <rPh sb="3" eb="5">
      <t>ケイサン</t>
    </rPh>
    <rPh sb="5" eb="7">
      <t>ケッカ</t>
    </rPh>
    <phoneticPr fontId="1"/>
  </si>
  <si>
    <t>控除額</t>
    <rPh sb="0" eb="2">
      <t>コウジョ</t>
    </rPh>
    <rPh sb="2" eb="3">
      <t>ガク</t>
    </rPh>
    <phoneticPr fontId="1"/>
  </si>
  <si>
    <t>年度</t>
    <rPh sb="0" eb="2">
      <t>ネンド</t>
    </rPh>
    <phoneticPr fontId="1"/>
  </si>
  <si>
    <t>起動時実行マクロの設定</t>
    <rPh sb="0" eb="3">
      <t>キドウジ</t>
    </rPh>
    <rPh sb="3" eb="5">
      <t>ジッコウ</t>
    </rPh>
    <rPh sb="9" eb="11">
      <t>セッテイ</t>
    </rPh>
    <phoneticPr fontId="1"/>
  </si>
  <si>
    <t>④その他
所得</t>
    <rPh sb="3" eb="4">
      <t>タ</t>
    </rPh>
    <rPh sb="5" eb="7">
      <t>ショトク</t>
    </rPh>
    <phoneticPr fontId="1"/>
  </si>
  <si>
    <t>基本</t>
    <rPh sb="0" eb="2">
      <t>キホン</t>
    </rPh>
    <phoneticPr fontId="1"/>
  </si>
  <si>
    <t>率</t>
    <rPh sb="0" eb="1">
      <t>リツ</t>
    </rPh>
    <phoneticPr fontId="1"/>
  </si>
  <si>
    <t>備考</t>
    <rPh sb="0" eb="2">
      <t>ビコウ</t>
    </rPh>
    <phoneticPr fontId="1"/>
  </si>
  <si>
    <t>計応能</t>
    <rPh sb="0" eb="1">
      <t>ケイ</t>
    </rPh>
    <rPh sb="1" eb="3">
      <t>オウノウ</t>
    </rPh>
    <phoneticPr fontId="1"/>
  </si>
  <si>
    <t>給与所得</t>
    <rPh sb="0" eb="2">
      <t>キュウヨ</t>
    </rPh>
    <rPh sb="2" eb="4">
      <t>ショトク</t>
    </rPh>
    <phoneticPr fontId="1"/>
  </si>
  <si>
    <t>子ども分 税額</t>
    <rPh sb="0" eb="1">
      <t>コ</t>
    </rPh>
    <rPh sb="3" eb="4">
      <t>ブン</t>
    </rPh>
    <rPh sb="5" eb="7">
      <t>ゼイガク</t>
    </rPh>
    <phoneticPr fontId="1"/>
  </si>
  <si>
    <t>所得計</t>
    <rPh sb="0" eb="2">
      <t>ショトク</t>
    </rPh>
    <rPh sb="2" eb="3">
      <t>ケイ</t>
    </rPh>
    <phoneticPr fontId="1"/>
  </si>
  <si>
    <t>給与所得控除の計算式</t>
    <rPh sb="0" eb="2">
      <t>キュウヨ</t>
    </rPh>
    <rPh sb="2" eb="4">
      <t>ショトク</t>
    </rPh>
    <rPh sb="4" eb="6">
      <t>コウジョ</t>
    </rPh>
    <rPh sb="7" eb="9">
      <t>ケイサン</t>
    </rPh>
    <rPh sb="9" eb="10">
      <t>シキ</t>
    </rPh>
    <phoneticPr fontId="1"/>
  </si>
  <si>
    <t>軽判所得</t>
  </si>
  <si>
    <t>介護</t>
    <rPh sb="0" eb="2">
      <t>カイゴ</t>
    </rPh>
    <phoneticPr fontId="1"/>
  </si>
  <si>
    <t>65歳未満</t>
    <rPh sb="2" eb="3">
      <t>サイ</t>
    </rPh>
    <rPh sb="3" eb="5">
      <t>ミマン</t>
    </rPh>
    <phoneticPr fontId="1"/>
  </si>
  <si>
    <t>※平等割額は、主の国保加入の有無及び介護保険分該当・非該当に</t>
    <rPh sb="1" eb="3">
      <t>ビョウドウ</t>
    </rPh>
    <rPh sb="3" eb="4">
      <t>ワ</t>
    </rPh>
    <rPh sb="4" eb="5">
      <t>ガク</t>
    </rPh>
    <rPh sb="7" eb="8">
      <t>ヌシ</t>
    </rPh>
    <rPh sb="9" eb="11">
      <t>コクホ</t>
    </rPh>
    <rPh sb="11" eb="13">
      <t>カニュウ</t>
    </rPh>
    <rPh sb="14" eb="16">
      <t>ウム</t>
    </rPh>
    <rPh sb="16" eb="17">
      <t>オヨ</t>
    </rPh>
    <rPh sb="18" eb="20">
      <t>カイゴ</t>
    </rPh>
    <rPh sb="20" eb="22">
      <t>ホケン</t>
    </rPh>
    <rPh sb="22" eb="23">
      <t>ブン</t>
    </rPh>
    <rPh sb="23" eb="25">
      <t>ガイトウ</t>
    </rPh>
    <rPh sb="26" eb="27">
      <t>ヒ</t>
    </rPh>
    <rPh sb="27" eb="29">
      <t>ガイトウ</t>
    </rPh>
    <phoneticPr fontId="1"/>
  </si>
  <si>
    <t>所得割</t>
    <rPh sb="0" eb="2">
      <t>ショトク</t>
    </rPh>
    <rPh sb="2" eb="3">
      <t>ワリ</t>
    </rPh>
    <phoneticPr fontId="1"/>
  </si>
  <si>
    <t>医 療 分 税額</t>
    <rPh sb="0" eb="1">
      <t>イ</t>
    </rPh>
    <rPh sb="2" eb="3">
      <t>リョウ</t>
    </rPh>
    <rPh sb="4" eb="5">
      <t>ブン</t>
    </rPh>
    <rPh sb="6" eb="7">
      <t>ゼイ</t>
    </rPh>
    <rPh sb="7" eb="8">
      <t>ガク</t>
    </rPh>
    <phoneticPr fontId="1"/>
  </si>
  <si>
    <t>国保加入者数</t>
    <rPh sb="0" eb="2">
      <t>コクホ</t>
    </rPh>
    <rPh sb="2" eb="4">
      <t>カニュウ</t>
    </rPh>
    <rPh sb="4" eb="5">
      <t>シャ</t>
    </rPh>
    <rPh sb="5" eb="6">
      <t>カズ</t>
    </rPh>
    <phoneticPr fontId="1"/>
  </si>
  <si>
    <t>資産割</t>
    <rPh sb="0" eb="2">
      <t>シサン</t>
    </rPh>
    <rPh sb="2" eb="3">
      <t>ワリ</t>
    </rPh>
    <phoneticPr fontId="1"/>
  </si>
  <si>
    <t>※全員：加入期間税額計算</t>
    <rPh sb="1" eb="3">
      <t>ゼンイン</t>
    </rPh>
    <rPh sb="4" eb="6">
      <t>カニュウ</t>
    </rPh>
    <rPh sb="6" eb="8">
      <t>キカン</t>
    </rPh>
    <rPh sb="8" eb="10">
      <t>ゼイガク</t>
    </rPh>
    <rPh sb="10" eb="12">
      <t>ケイサン</t>
    </rPh>
    <phoneticPr fontId="1"/>
  </si>
  <si>
    <t>後期</t>
    <rPh sb="0" eb="2">
      <t>コウキ</t>
    </rPh>
    <phoneticPr fontId="1"/>
  </si>
  <si>
    <t>均等割</t>
    <rPh sb="0" eb="3">
      <t>キントウワリ</t>
    </rPh>
    <phoneticPr fontId="1"/>
  </si>
  <si>
    <t>平等割</t>
    <rPh sb="0" eb="2">
      <t>ビョウドウ</t>
    </rPh>
    <rPh sb="2" eb="3">
      <t>ワリ</t>
    </rPh>
    <phoneticPr fontId="1"/>
  </si>
  <si>
    <t>　　 詳細については、保険年金課　資格賦課担当までご連絡ください。</t>
    <rPh sb="11" eb="13">
      <t>ホケン</t>
    </rPh>
    <rPh sb="13" eb="15">
      <t>ネンキン</t>
    </rPh>
    <rPh sb="15" eb="16">
      <t>カ</t>
    </rPh>
    <rPh sb="17" eb="19">
      <t>シカク</t>
    </rPh>
    <rPh sb="19" eb="21">
      <t>フカ</t>
    </rPh>
    <phoneticPr fontId="1"/>
  </si>
  <si>
    <t>軽減判定
所得合計</t>
    <rPh sb="0" eb="2">
      <t>ケイゲン</t>
    </rPh>
    <rPh sb="2" eb="4">
      <t>ハンテイ</t>
    </rPh>
    <rPh sb="5" eb="7">
      <t>ショトク</t>
    </rPh>
    <rPh sb="7" eb="9">
      <t>ゴウケイ</t>
    </rPh>
    <phoneticPr fontId="1"/>
  </si>
  <si>
    <t>計</t>
    <rPh sb="0" eb="1">
      <t>ケイ</t>
    </rPh>
    <phoneticPr fontId="1"/>
  </si>
  <si>
    <t>世帯主の
保険証種別</t>
    <rPh sb="0" eb="3">
      <t>セタイヌシ</t>
    </rPh>
    <rPh sb="5" eb="8">
      <t>ホケンショウ</t>
    </rPh>
    <rPh sb="8" eb="10">
      <t>シュベツ</t>
    </rPh>
    <phoneticPr fontId="1"/>
  </si>
  <si>
    <t>②給与収入</t>
    <rPh sb="1" eb="3">
      <t>キュウヨ</t>
    </rPh>
    <rPh sb="3" eb="5">
      <t>シュウニュウ</t>
    </rPh>
    <phoneticPr fontId="1"/>
  </si>
  <si>
    <t>③年金収入</t>
    <rPh sb="1" eb="3">
      <t>ネンキン</t>
    </rPh>
    <rPh sb="3" eb="5">
      <t>シュウニュウ</t>
    </rPh>
    <phoneticPr fontId="1"/>
  </si>
  <si>
    <t>　関わらず世帯主に計上しています。</t>
  </si>
  <si>
    <t>１１月</t>
  </si>
  <si>
    <t>６応能</t>
    <rPh sb="1" eb="3">
      <t>オウノウ</t>
    </rPh>
    <phoneticPr fontId="1"/>
  </si>
  <si>
    <t>９月</t>
  </si>
  <si>
    <t>軽減該当要件</t>
    <rPh sb="0" eb="2">
      <t>ケイゲン</t>
    </rPh>
    <rPh sb="2" eb="4">
      <t>ガイトウ</t>
    </rPh>
    <rPh sb="4" eb="6">
      <t>ヨウケン</t>
    </rPh>
    <phoneticPr fontId="1"/>
  </si>
  <si>
    <t>４応益</t>
    <rPh sb="1" eb="2">
      <t>オウ</t>
    </rPh>
    <rPh sb="2" eb="3">
      <t>エキ</t>
    </rPh>
    <phoneticPr fontId="1"/>
  </si>
  <si>
    <t>年齢区分</t>
    <rPh sb="0" eb="2">
      <t>ネンレイ</t>
    </rPh>
    <rPh sb="2" eb="4">
      <t>クブン</t>
    </rPh>
    <phoneticPr fontId="1"/>
  </si>
  <si>
    <t>年金収入</t>
    <rPh sb="0" eb="2">
      <t>ネンキン</t>
    </rPh>
    <rPh sb="2" eb="4">
      <t>シュウニュウ</t>
    </rPh>
    <phoneticPr fontId="1"/>
  </si>
  <si>
    <t>①生年月日</t>
    <rPh sb="1" eb="3">
      <t>セイネン</t>
    </rPh>
    <rPh sb="3" eb="5">
      <t>ガッピ</t>
    </rPh>
    <phoneticPr fontId="1"/>
  </si>
  <si>
    <t>医療</t>
    <rPh sb="0" eb="2">
      <t>イリョウ</t>
    </rPh>
    <phoneticPr fontId="1"/>
  </si>
  <si>
    <t>保険税（調整後数値）</t>
    <rPh sb="0" eb="2">
      <t>ホケン</t>
    </rPh>
    <rPh sb="2" eb="3">
      <t>ゼイ</t>
    </rPh>
    <rPh sb="4" eb="6">
      <t>チョウセイ</t>
    </rPh>
    <rPh sb="6" eb="7">
      <t>アト</t>
    </rPh>
    <rPh sb="7" eb="9">
      <t>スウチ</t>
    </rPh>
    <phoneticPr fontId="1"/>
  </si>
  <si>
    <t>　なお、擬主もしくは主が介護非該当なのに平等割のみかかる場合、</t>
    <rPh sb="4" eb="5">
      <t>ギ</t>
    </rPh>
    <rPh sb="5" eb="6">
      <t>ヌシ</t>
    </rPh>
    <rPh sb="10" eb="11">
      <t>ヌシ</t>
    </rPh>
    <rPh sb="12" eb="14">
      <t>カイゴ</t>
    </rPh>
    <rPh sb="14" eb="17">
      <t>ヒガイトウ</t>
    </rPh>
    <phoneticPr fontId="1"/>
  </si>
  <si>
    <t>年齢
区分</t>
    <rPh sb="0" eb="2">
      <t>ネンレイ</t>
    </rPh>
    <rPh sb="3" eb="5">
      <t>クブン</t>
    </rPh>
    <phoneticPr fontId="1"/>
  </si>
  <si>
    <t>　該当部分が網掛けとなります。</t>
    <rPh sb="1" eb="3">
      <t>ガイトウ</t>
    </rPh>
    <rPh sb="3" eb="5">
      <t>ブブン</t>
    </rPh>
    <phoneticPr fontId="1"/>
  </si>
  <si>
    <t>R02旧高崎</t>
    <rPh sb="3" eb="4">
      <t>キュウ</t>
    </rPh>
    <rPh sb="4" eb="6">
      <t>タカサキ</t>
    </rPh>
    <phoneticPr fontId="1"/>
  </si>
  <si>
    <t>2割軽減</t>
    <rPh sb="1" eb="2">
      <t>ワリ</t>
    </rPh>
    <rPh sb="2" eb="4">
      <t>ケイゲン</t>
    </rPh>
    <phoneticPr fontId="1"/>
  </si>
  <si>
    <t>２応能</t>
    <rPh sb="1" eb="3">
      <t>オウノウ</t>
    </rPh>
    <phoneticPr fontId="1"/>
  </si>
  <si>
    <t>5割軽減</t>
    <rPh sb="1" eb="2">
      <t>ワリ</t>
    </rPh>
    <rPh sb="2" eb="4">
      <t>ケイゲン</t>
    </rPh>
    <phoneticPr fontId="1"/>
  </si>
  <si>
    <t>子ども子育て支援金分</t>
    <rPh sb="0" eb="1">
      <t>コ</t>
    </rPh>
    <rPh sb="3" eb="5">
      <t>コソダ</t>
    </rPh>
    <rPh sb="6" eb="8">
      <t>シエン</t>
    </rPh>
    <rPh sb="8" eb="9">
      <t>キン</t>
    </rPh>
    <rPh sb="9" eb="10">
      <t>ブン</t>
    </rPh>
    <phoneticPr fontId="1"/>
  </si>
  <si>
    <t>支援</t>
    <rPh sb="0" eb="2">
      <t>シエン</t>
    </rPh>
    <phoneticPr fontId="1"/>
  </si>
  <si>
    <t>7割軽減</t>
    <rPh sb="1" eb="2">
      <t>ワリ</t>
    </rPh>
    <rPh sb="2" eb="4">
      <t>ケイゲン</t>
    </rPh>
    <phoneticPr fontId="1"/>
  </si>
  <si>
    <t>軽減なし</t>
    <rPh sb="0" eb="2">
      <t>ケイゲン</t>
    </rPh>
    <phoneticPr fontId="1"/>
  </si>
  <si>
    <t>年金収入（65歳未満）</t>
    <rPh sb="0" eb="4">
      <t>ネンキンシュウニュウ</t>
    </rPh>
    <rPh sb="7" eb="8">
      <t>サイ</t>
    </rPh>
    <rPh sb="8" eb="10">
      <t>ミマン</t>
    </rPh>
    <phoneticPr fontId="1"/>
  </si>
  <si>
    <t>※主は未加入だが、平等割のみ計上している場合、網掛けとなります。</t>
    <rPh sb="1" eb="2">
      <t>ヌシ</t>
    </rPh>
    <rPh sb="3" eb="6">
      <t>ミカニュウ</t>
    </rPh>
    <rPh sb="9" eb="11">
      <t>ビョウドウ</t>
    </rPh>
    <rPh sb="11" eb="12">
      <t>ワリ</t>
    </rPh>
    <rPh sb="14" eb="16">
      <t>ケイジョウ</t>
    </rPh>
    <rPh sb="20" eb="22">
      <t>バアイ</t>
    </rPh>
    <rPh sb="23" eb="25">
      <t>アミカ</t>
    </rPh>
    <phoneticPr fontId="1"/>
  </si>
  <si>
    <t>7割5割2割</t>
    <rPh sb="1" eb="2">
      <t>ワリ</t>
    </rPh>
    <rPh sb="3" eb="4">
      <t>ワリ</t>
    </rPh>
    <rPh sb="5" eb="6">
      <t>ワリ</t>
    </rPh>
    <phoneticPr fontId="1"/>
  </si>
  <si>
    <t>強制軽減適用</t>
    <rPh sb="0" eb="2">
      <t>キョウセイ</t>
    </rPh>
    <rPh sb="2" eb="4">
      <t>ケイゲン</t>
    </rPh>
    <rPh sb="4" eb="6">
      <t>テキヨウ</t>
    </rPh>
    <phoneticPr fontId="1"/>
  </si>
  <si>
    <t>H24旧高崎</t>
    <rPh sb="3" eb="4">
      <t>キュウ</t>
    </rPh>
    <rPh sb="4" eb="6">
      <t>タカサキ</t>
    </rPh>
    <phoneticPr fontId="1"/>
  </si>
  <si>
    <t>H24吉井</t>
    <rPh sb="3" eb="5">
      <t>ヨシイ</t>
    </rPh>
    <phoneticPr fontId="1"/>
  </si>
  <si>
    <t>平等割1/4軽減</t>
    <rPh sb="0" eb="2">
      <t>ビョウドウ</t>
    </rPh>
    <rPh sb="2" eb="3">
      <t>ワリ</t>
    </rPh>
    <rPh sb="6" eb="8">
      <t>ケイゲン</t>
    </rPh>
    <phoneticPr fontId="1"/>
  </si>
  <si>
    <t>H25旧高崎</t>
    <rPh sb="3" eb="4">
      <t>キュウ</t>
    </rPh>
    <rPh sb="4" eb="6">
      <t>タカサキ</t>
    </rPh>
    <phoneticPr fontId="1"/>
  </si>
  <si>
    <t>軽減判定計算該当</t>
    <rPh sb="0" eb="2">
      <t>ケイゲン</t>
    </rPh>
    <rPh sb="2" eb="4">
      <t>ハンテイ</t>
    </rPh>
    <rPh sb="4" eb="6">
      <t>ケイサン</t>
    </rPh>
    <rPh sb="6" eb="8">
      <t>ガイトウ</t>
    </rPh>
    <phoneticPr fontId="1"/>
  </si>
  <si>
    <t>H25吉井</t>
    <rPh sb="3" eb="5">
      <t>ヨシイ</t>
    </rPh>
    <phoneticPr fontId="1"/>
  </si>
  <si>
    <t>介護分(所)</t>
    <rPh sb="0" eb="2">
      <t>カイゴ</t>
    </rPh>
    <rPh sb="2" eb="3">
      <t>ブン</t>
    </rPh>
    <rPh sb="4" eb="5">
      <t>トコロ</t>
    </rPh>
    <phoneticPr fontId="1"/>
  </si>
  <si>
    <t>７割</t>
    <rPh sb="1" eb="2">
      <t>ワリ</t>
    </rPh>
    <phoneticPr fontId="1"/>
  </si>
  <si>
    <t>５割</t>
    <rPh sb="1" eb="2">
      <t>ワリ</t>
    </rPh>
    <phoneticPr fontId="1"/>
  </si>
  <si>
    <t>２割</t>
    <rPh sb="1" eb="2">
      <t>ワリ</t>
    </rPh>
    <phoneticPr fontId="1"/>
  </si>
  <si>
    <t>※月割りしたものを基準に保険税額（加入月分）の計算を行っているため、計算結果が若干ずれる場合があります。</t>
    <rPh sb="1" eb="3">
      <t>ツキワ</t>
    </rPh>
    <rPh sb="9" eb="11">
      <t>キジュン</t>
    </rPh>
    <rPh sb="12" eb="14">
      <t>ホケン</t>
    </rPh>
    <rPh sb="14" eb="15">
      <t>ゼイ</t>
    </rPh>
    <rPh sb="15" eb="16">
      <t>ガク</t>
    </rPh>
    <rPh sb="17" eb="19">
      <t>カニュウ</t>
    </rPh>
    <rPh sb="19" eb="20">
      <t>ヅキ</t>
    </rPh>
    <rPh sb="20" eb="21">
      <t>ブン</t>
    </rPh>
    <rPh sb="23" eb="25">
      <t>ケイサン</t>
    </rPh>
    <rPh sb="34" eb="36">
      <t>ケイサン</t>
    </rPh>
    <rPh sb="36" eb="38">
      <t>ケッカ</t>
    </rPh>
    <phoneticPr fontId="1"/>
  </si>
  <si>
    <t>平等割1/2軽減</t>
    <rPh sb="0" eb="2">
      <t>ビョウドウ</t>
    </rPh>
    <rPh sb="2" eb="3">
      <t>ワリ</t>
    </rPh>
    <rPh sb="6" eb="8">
      <t>ケイゲン</t>
    </rPh>
    <phoneticPr fontId="1"/>
  </si>
  <si>
    <t>特定同一世帯の軽減判定が正しく出ない場合があります。
よく確認をし、必要に応じて強制軽減で対応してください。</t>
    <rPh sb="0" eb="2">
      <t>トクテイ</t>
    </rPh>
    <rPh sb="2" eb="4">
      <t>ドウイツ</t>
    </rPh>
    <rPh sb="4" eb="6">
      <t>セタイ</t>
    </rPh>
    <rPh sb="7" eb="9">
      <t>ケイゲン</t>
    </rPh>
    <rPh sb="9" eb="11">
      <t>ハンテイ</t>
    </rPh>
    <rPh sb="12" eb="13">
      <t>タダ</t>
    </rPh>
    <rPh sb="15" eb="16">
      <t>デ</t>
    </rPh>
    <rPh sb="18" eb="20">
      <t>バアイ</t>
    </rPh>
    <rPh sb="29" eb="31">
      <t>カクニン</t>
    </rPh>
    <rPh sb="34" eb="36">
      <t>ヒツヨウ</t>
    </rPh>
    <rPh sb="37" eb="38">
      <t>オウ</t>
    </rPh>
    <rPh sb="40" eb="42">
      <t>キョウセイ</t>
    </rPh>
    <rPh sb="42" eb="44">
      <t>ケイゲン</t>
    </rPh>
    <rPh sb="45" eb="47">
      <t>タイオウ</t>
    </rPh>
    <phoneticPr fontId="1"/>
  </si>
  <si>
    <t>H26旧高崎</t>
    <rPh sb="3" eb="4">
      <t>キュウ</t>
    </rPh>
    <rPh sb="4" eb="6">
      <t>タカサキ</t>
    </rPh>
    <phoneticPr fontId="1"/>
  </si>
  <si>
    <t>後期支援金分</t>
    <rPh sb="0" eb="2">
      <t>コウキ</t>
    </rPh>
    <rPh sb="2" eb="5">
      <t>シエンキン</t>
    </rPh>
    <rPh sb="5" eb="6">
      <t>ブン</t>
    </rPh>
    <phoneticPr fontId="1"/>
  </si>
  <si>
    <t>H26吉井</t>
    <rPh sb="3" eb="5">
      <t>ヨシイ</t>
    </rPh>
    <phoneticPr fontId="1"/>
  </si>
  <si>
    <t>H27旧高崎</t>
    <rPh sb="3" eb="4">
      <t>キュウ</t>
    </rPh>
    <rPh sb="4" eb="6">
      <t>タカサキ</t>
    </rPh>
    <phoneticPr fontId="1"/>
  </si>
  <si>
    <t>H27吉井</t>
    <rPh sb="3" eb="5">
      <t>ヨシイ</t>
    </rPh>
    <phoneticPr fontId="1"/>
  </si>
  <si>
    <t>H28旧高崎</t>
    <rPh sb="3" eb="4">
      <t>キュウ</t>
    </rPh>
    <rPh sb="4" eb="6">
      <t>タカサキ</t>
    </rPh>
    <phoneticPr fontId="1"/>
  </si>
  <si>
    <t>５月</t>
    <rPh sb="1" eb="2">
      <t>ガツ</t>
    </rPh>
    <phoneticPr fontId="1"/>
  </si>
  <si>
    <t>H28吉井</t>
    <rPh sb="3" eb="5">
      <t>ヨシイ</t>
    </rPh>
    <phoneticPr fontId="1"/>
  </si>
  <si>
    <t>年　税　額</t>
    <rPh sb="0" eb="1">
      <t>ネン</t>
    </rPh>
    <rPh sb="2" eb="3">
      <t>ゼイ</t>
    </rPh>
    <rPh sb="4" eb="5">
      <t>ガク</t>
    </rPh>
    <phoneticPr fontId="1"/>
  </si>
  <si>
    <t>全地区</t>
    <rPh sb="0" eb="1">
      <t>ゼン</t>
    </rPh>
    <rPh sb="1" eb="3">
      <t>チク</t>
    </rPh>
    <phoneticPr fontId="1"/>
  </si>
  <si>
    <t>H29旧高崎</t>
    <rPh sb="3" eb="4">
      <t>キュウ</t>
    </rPh>
    <rPh sb="4" eb="6">
      <t>タカサキ</t>
    </rPh>
    <phoneticPr fontId="1"/>
  </si>
  <si>
    <t>H30旧高崎</t>
    <rPh sb="3" eb="4">
      <t>キュウ</t>
    </rPh>
    <rPh sb="4" eb="6">
      <t>タカサキ</t>
    </rPh>
    <phoneticPr fontId="1"/>
  </si>
  <si>
    <t>H31旧高崎</t>
    <rPh sb="3" eb="4">
      <t>キュウ</t>
    </rPh>
    <rPh sb="4" eb="6">
      <t>タカサキ</t>
    </rPh>
    <phoneticPr fontId="1"/>
  </si>
  <si>
    <t>８月</t>
  </si>
  <si>
    <t>医療・支援
課税標準</t>
    <rPh sb="0" eb="2">
      <t>イリョウ</t>
    </rPh>
    <rPh sb="3" eb="5">
      <t>シエン</t>
    </rPh>
    <rPh sb="6" eb="8">
      <t>カゼイ</t>
    </rPh>
    <rPh sb="8" eb="10">
      <t>ヒョウジュン</t>
    </rPh>
    <phoneticPr fontId="1"/>
  </si>
  <si>
    <t>特例軽減</t>
    <rPh sb="0" eb="2">
      <t>トクレイ</t>
    </rPh>
    <rPh sb="2" eb="4">
      <t>ケイゲン</t>
    </rPh>
    <phoneticPr fontId="1"/>
  </si>
  <si>
    <t>給与＆年金
あり控除</t>
    <rPh sb="0" eb="2">
      <t>キュウヨ</t>
    </rPh>
    <rPh sb="3" eb="5">
      <t>ネンキン</t>
    </rPh>
    <rPh sb="8" eb="10">
      <t>コウジョ</t>
    </rPh>
    <phoneticPr fontId="1"/>
  </si>
  <si>
    <t>7
月</t>
    <rPh sb="2" eb="3">
      <t>ガツ</t>
    </rPh>
    <phoneticPr fontId="1"/>
  </si>
  <si>
    <t>給与所得者等数</t>
    <rPh sb="6" eb="7">
      <t>スウ</t>
    </rPh>
    <phoneticPr fontId="1"/>
  </si>
  <si>
    <t>被保険者数</t>
    <rPh sb="0" eb="4">
      <t>ヒホケンシャ</t>
    </rPh>
    <rPh sb="4" eb="5">
      <t>スウ</t>
    </rPh>
    <phoneticPr fontId="1"/>
  </si>
  <si>
    <t>※公的年金以外の合計所得が1,000万円以下の場合で計算</t>
    <rPh sb="1" eb="3">
      <t>コウテキ</t>
    </rPh>
    <rPh sb="3" eb="5">
      <t>ネンキン</t>
    </rPh>
    <rPh sb="5" eb="7">
      <t>イガイ</t>
    </rPh>
    <rPh sb="8" eb="10">
      <t>ゴウケイ</t>
    </rPh>
    <rPh sb="10" eb="12">
      <t>ショトク</t>
    </rPh>
    <rPh sb="18" eb="19">
      <t>マン</t>
    </rPh>
    <rPh sb="19" eb="20">
      <t>エン</t>
    </rPh>
    <rPh sb="20" eb="22">
      <t>イカ</t>
    </rPh>
    <rPh sb="23" eb="25">
      <t>バアイ</t>
    </rPh>
    <rPh sb="26" eb="28">
      <t>ケイサン</t>
    </rPh>
    <phoneticPr fontId="1"/>
  </si>
  <si>
    <r>
      <t xml:space="preserve">軽判所得
</t>
    </r>
    <r>
      <rPr>
        <sz val="8"/>
        <rFont val="ＭＳ ゴシック"/>
        <family val="3"/>
        <charset val="128"/>
      </rPr>
      <t>(年金加算含む)</t>
    </r>
    <rPh sb="0" eb="1">
      <t>ケイ</t>
    </rPh>
    <rPh sb="1" eb="2">
      <t>ハン</t>
    </rPh>
    <rPh sb="2" eb="4">
      <t>ショトク</t>
    </rPh>
    <rPh sb="6" eb="8">
      <t>ネンキン</t>
    </rPh>
    <rPh sb="8" eb="10">
      <t>カサン</t>
    </rPh>
    <rPh sb="10" eb="11">
      <t>フク</t>
    </rPh>
    <phoneticPr fontId="1"/>
  </si>
  <si>
    <t>軽減判定人数</t>
    <rPh sb="0" eb="2">
      <t>ケイゲン</t>
    </rPh>
    <rPh sb="2" eb="4">
      <t>ハンテイ</t>
    </rPh>
    <rPh sb="4" eb="6">
      <t>ニンズウ</t>
    </rPh>
    <phoneticPr fontId="1"/>
  </si>
  <si>
    <r>
      <t>未就学児均等割　</t>
    </r>
    <r>
      <rPr>
        <b/>
        <u/>
        <sz val="11"/>
        <rFont val="ＭＳ ゴシック"/>
        <family val="3"/>
        <charset val="128"/>
      </rPr>
      <t>減額率</t>
    </r>
    <rPh sb="0" eb="4">
      <t>ミシュウガクジ</t>
    </rPh>
    <rPh sb="4" eb="7">
      <t>キントウワ</t>
    </rPh>
    <rPh sb="8" eb="10">
      <t>ゲンガク</t>
    </rPh>
    <rPh sb="10" eb="11">
      <t>リツ</t>
    </rPh>
    <phoneticPr fontId="1"/>
  </si>
  <si>
    <t xml:space="preserve"> </t>
  </si>
  <si>
    <t>４月</t>
    <rPh sb="1" eb="2">
      <t>ガツ</t>
    </rPh>
    <phoneticPr fontId="1"/>
  </si>
  <si>
    <t>軽判所得</t>
    <rPh sb="0" eb="1">
      <t>ケイ</t>
    </rPh>
    <rPh sb="1" eb="2">
      <t>ハン</t>
    </rPh>
    <rPh sb="2" eb="4">
      <t>ショトク</t>
    </rPh>
    <phoneticPr fontId="1"/>
  </si>
  <si>
    <r>
      <rPr>
        <sz val="10"/>
        <rFont val="ＭＳ ゴシック"/>
        <family val="3"/>
        <charset val="128"/>
      </rPr>
      <t>給与＆年金
あり控除</t>
    </r>
    <r>
      <rPr>
        <sz val="9"/>
        <rFont val="ＭＳ ゴシック"/>
        <family val="3"/>
        <charset val="128"/>
      </rPr>
      <t xml:space="preserve">
(軽判所得)</t>
    </r>
    <rPh sb="0" eb="2">
      <t>キュウヨ</t>
    </rPh>
    <rPh sb="3" eb="5">
      <t>ネンキン</t>
    </rPh>
    <rPh sb="8" eb="10">
      <t>コウジョ</t>
    </rPh>
    <rPh sb="12" eb="13">
      <t>ケイ</t>
    </rPh>
    <rPh sb="13" eb="14">
      <t>ハン</t>
    </rPh>
    <rPh sb="14" eb="16">
      <t>ショトク</t>
    </rPh>
    <phoneticPr fontId="1"/>
  </si>
  <si>
    <t>4
月</t>
    <rPh sb="2" eb="3">
      <t>ガツ</t>
    </rPh>
    <phoneticPr fontId="1"/>
  </si>
  <si>
    <t>5
月</t>
    <rPh sb="2" eb="3">
      <t>ツキ</t>
    </rPh>
    <phoneticPr fontId="1"/>
  </si>
  <si>
    <t>１０月</t>
  </si>
  <si>
    <t>6
月</t>
    <rPh sb="2" eb="3">
      <t>ガツ</t>
    </rPh>
    <phoneticPr fontId="1"/>
  </si>
  <si>
    <t>8
月</t>
    <rPh sb="2" eb="3">
      <t>ガツ</t>
    </rPh>
    <phoneticPr fontId="1"/>
  </si>
  <si>
    <t>9
月</t>
    <rPh sb="2" eb="3">
      <t>ガツ</t>
    </rPh>
    <phoneticPr fontId="1"/>
  </si>
  <si>
    <t>10
月</t>
    <rPh sb="3" eb="4">
      <t>ガツ</t>
    </rPh>
    <phoneticPr fontId="1"/>
  </si>
  <si>
    <t>11
月</t>
    <rPh sb="3" eb="4">
      <t>ガツ</t>
    </rPh>
    <phoneticPr fontId="1"/>
  </si>
  <si>
    <t>12
月</t>
    <rPh sb="3" eb="4">
      <t>ガツ</t>
    </rPh>
    <phoneticPr fontId="1"/>
  </si>
  <si>
    <t>1
月</t>
    <rPh sb="2" eb="3">
      <t>ガツ</t>
    </rPh>
    <phoneticPr fontId="1"/>
  </si>
  <si>
    <t>3
月</t>
    <rPh sb="2" eb="3">
      <t>ガツ</t>
    </rPh>
    <phoneticPr fontId="1"/>
  </si>
  <si>
    <t>６月</t>
  </si>
  <si>
    <t>７月</t>
  </si>
  <si>
    <t>１２月</t>
  </si>
  <si>
    <t>１月</t>
    <rPh sb="1" eb="2">
      <t>ガツ</t>
    </rPh>
    <phoneticPr fontId="1"/>
  </si>
  <si>
    <t>２月</t>
    <rPh sb="1" eb="2">
      <t>ガツ</t>
    </rPh>
    <phoneticPr fontId="1"/>
  </si>
  <si>
    <t>３月</t>
    <rPh sb="1" eb="2">
      <t>ガツ</t>
    </rPh>
    <phoneticPr fontId="1"/>
  </si>
  <si>
    <t>入力シートのデータ消去マクロを実行</t>
    <rPh sb="0" eb="2">
      <t>ニュウリョク</t>
    </rPh>
    <rPh sb="9" eb="11">
      <t>ショウキョ</t>
    </rPh>
    <rPh sb="15" eb="17">
      <t>ジッコウ</t>
    </rPh>
    <phoneticPr fontId="1"/>
  </si>
  <si>
    <t>小　計</t>
    <rPh sb="0" eb="1">
      <t>ショウ</t>
    </rPh>
    <rPh sb="2" eb="3">
      <t>ケイ</t>
    </rPh>
    <phoneticPr fontId="1"/>
  </si>
  <si>
    <t>賦課
期日
判定
欄</t>
    <rPh sb="0" eb="2">
      <t>フカ</t>
    </rPh>
    <rPh sb="3" eb="5">
      <t>キジツ</t>
    </rPh>
    <rPh sb="6" eb="8">
      <t>ハンテイ</t>
    </rPh>
    <rPh sb="9" eb="10">
      <t>ラン</t>
    </rPh>
    <phoneticPr fontId="1"/>
  </si>
  <si>
    <t>介 護 分 税額</t>
    <rPh sb="0" eb="1">
      <t>スケ</t>
    </rPh>
    <rPh sb="2" eb="3">
      <t>マモル</t>
    </rPh>
    <rPh sb="4" eb="5">
      <t>ブン</t>
    </rPh>
    <rPh sb="6" eb="8">
      <t>ゼイガク</t>
    </rPh>
    <phoneticPr fontId="1"/>
  </si>
  <si>
    <t>介護分(均)</t>
    <rPh sb="0" eb="2">
      <t>カイゴ</t>
    </rPh>
    <rPh sb="2" eb="3">
      <t>ブン</t>
    </rPh>
    <rPh sb="4" eb="5">
      <t>キン</t>
    </rPh>
    <phoneticPr fontId="1"/>
  </si>
  <si>
    <r>
      <t>①　</t>
    </r>
    <r>
      <rPr>
        <b/>
        <sz val="11"/>
        <color indexed="12"/>
        <rFont val="ＭＳ Ｐゴシック"/>
        <family val="3"/>
        <charset val="128"/>
      </rPr>
      <t>生年月日</t>
    </r>
    <r>
      <rPr>
        <sz val="11"/>
        <color indexed="12"/>
        <rFont val="ＭＳ Ｐゴシック"/>
        <family val="3"/>
        <charset val="128"/>
      </rPr>
      <t>は必ず入力してください。（</t>
    </r>
    <r>
      <rPr>
        <sz val="11"/>
        <color indexed="10"/>
        <rFont val="ＭＳ Ｐゴシック"/>
        <family val="3"/>
        <charset val="128"/>
      </rPr>
      <t>和暦、もしくは西暦</t>
    </r>
    <r>
      <rPr>
        <sz val="11"/>
        <color indexed="12"/>
        <rFont val="ＭＳ Ｐゴシック"/>
        <family val="3"/>
        <charset val="128"/>
      </rPr>
      <t>で入力。）</t>
    </r>
    <rPh sb="2" eb="4">
      <t>セイネン</t>
    </rPh>
    <rPh sb="4" eb="6">
      <t>ガッピ</t>
    </rPh>
    <rPh sb="7" eb="8">
      <t>カナラ</t>
    </rPh>
    <rPh sb="9" eb="11">
      <t>ニュウリョク</t>
    </rPh>
    <rPh sb="19" eb="21">
      <t>ワレキ</t>
    </rPh>
    <rPh sb="26" eb="28">
      <t>セイレキ</t>
    </rPh>
    <rPh sb="29" eb="31">
      <t>ニュウリョク</t>
    </rPh>
    <phoneticPr fontId="1"/>
  </si>
  <si>
    <r>
      <t>②　</t>
    </r>
    <r>
      <rPr>
        <b/>
        <sz val="11"/>
        <color indexed="12"/>
        <rFont val="ＭＳ Ｐゴシック"/>
        <family val="3"/>
        <charset val="128"/>
      </rPr>
      <t>給与収入</t>
    </r>
    <r>
      <rPr>
        <sz val="11"/>
        <color indexed="12"/>
        <rFont val="ＭＳ Ｐゴシック"/>
        <family val="3"/>
        <charset val="128"/>
      </rPr>
      <t>は、源泉徴収票の</t>
    </r>
    <r>
      <rPr>
        <sz val="11"/>
        <color indexed="10"/>
        <rFont val="ＭＳ Ｐゴシック"/>
        <family val="3"/>
        <charset val="128"/>
      </rPr>
      <t>支払金額</t>
    </r>
    <r>
      <rPr>
        <sz val="11"/>
        <color indexed="12"/>
        <rFont val="ＭＳ Ｐゴシック"/>
        <family val="3"/>
        <charset val="128"/>
      </rPr>
      <t>を入力してください。　　※</t>
    </r>
    <r>
      <rPr>
        <sz val="11"/>
        <color rgb="FFFF0000"/>
        <rFont val="ＭＳ Ｐゴシック"/>
        <family val="3"/>
        <charset val="128"/>
      </rPr>
      <t>給与収入850万円超え</t>
    </r>
    <r>
      <rPr>
        <sz val="11"/>
        <color indexed="12"/>
        <rFont val="ＭＳ Ｐゴシック"/>
        <family val="3"/>
        <charset val="128"/>
      </rPr>
      <t>の所得金額調整控除は対応していません。</t>
    </r>
    <rPh sb="4" eb="6">
      <t>シュウニュウ</t>
    </rPh>
    <rPh sb="14" eb="16">
      <t>シハライ</t>
    </rPh>
    <rPh sb="16" eb="18">
      <t>キンガク</t>
    </rPh>
    <rPh sb="31" eb="33">
      <t>キュウヨ</t>
    </rPh>
    <rPh sb="33" eb="35">
      <t>シュウニュウ</t>
    </rPh>
    <rPh sb="38" eb="39">
      <t>マン</t>
    </rPh>
    <rPh sb="39" eb="40">
      <t>エン</t>
    </rPh>
    <rPh sb="40" eb="41">
      <t>コ</t>
    </rPh>
    <rPh sb="43" eb="45">
      <t>ショトク</t>
    </rPh>
    <rPh sb="45" eb="47">
      <t>キンガク</t>
    </rPh>
    <rPh sb="47" eb="49">
      <t>チョウセイ</t>
    </rPh>
    <rPh sb="49" eb="51">
      <t>コウジョ</t>
    </rPh>
    <rPh sb="52" eb="54">
      <t>タイオウ</t>
    </rPh>
    <phoneticPr fontId="1"/>
  </si>
  <si>
    <t>軽減
判定</t>
    <rPh sb="0" eb="2">
      <t>ケイゲン</t>
    </rPh>
    <rPh sb="3" eb="5">
      <t>ハンテイ</t>
    </rPh>
    <phoneticPr fontId="1"/>
  </si>
  <si>
    <t>月別加入被保険者数</t>
    <rPh sb="0" eb="2">
      <t>ツキベツ</t>
    </rPh>
    <rPh sb="2" eb="4">
      <t>カニュウ</t>
    </rPh>
    <rPh sb="4" eb="8">
      <t>ヒホケンシャ</t>
    </rPh>
    <rPh sb="8" eb="9">
      <t>スウ</t>
    </rPh>
    <phoneticPr fontId="1"/>
  </si>
  <si>
    <t>１応能</t>
    <rPh sb="1" eb="3">
      <t>オウノウ</t>
    </rPh>
    <phoneticPr fontId="1"/>
  </si>
  <si>
    <t>１応益</t>
    <rPh sb="1" eb="2">
      <t>オウ</t>
    </rPh>
    <rPh sb="2" eb="3">
      <t>エキ</t>
    </rPh>
    <phoneticPr fontId="1"/>
  </si>
  <si>
    <t>２応益</t>
    <rPh sb="1" eb="2">
      <t>オウ</t>
    </rPh>
    <rPh sb="2" eb="3">
      <t>エキ</t>
    </rPh>
    <phoneticPr fontId="1"/>
  </si>
  <si>
    <r>
      <rPr>
        <sz val="12"/>
        <rFont val="ＭＳ ゴシック"/>
        <family val="3"/>
        <charset val="128"/>
      </rPr>
      <t>月別税額</t>
    </r>
    <r>
      <rPr>
        <sz val="10"/>
        <rFont val="ＭＳ ゴシック"/>
        <family val="3"/>
        <charset val="128"/>
      </rPr>
      <t xml:space="preserve">（医療+後期+介護+子ども） </t>
    </r>
    <r>
      <rPr>
        <sz val="9"/>
        <color rgb="FFFF0000"/>
        <rFont val="ＭＳ ゴシック"/>
        <family val="3"/>
        <charset val="128"/>
      </rPr>
      <t>※端数調整は行っていません</t>
    </r>
    <rPh sb="0" eb="1">
      <t>ツキ</t>
    </rPh>
    <rPh sb="1" eb="2">
      <t>ベツ</t>
    </rPh>
    <rPh sb="2" eb="3">
      <t>ゼイ</t>
    </rPh>
    <rPh sb="3" eb="4">
      <t>ガク</t>
    </rPh>
    <rPh sb="5" eb="7">
      <t>イリョウ</t>
    </rPh>
    <rPh sb="8" eb="10">
      <t>コウキ</t>
    </rPh>
    <rPh sb="11" eb="13">
      <t>カイゴ</t>
    </rPh>
    <rPh sb="14" eb="15">
      <t>コ</t>
    </rPh>
    <rPh sb="20" eb="22">
      <t>ハスウ</t>
    </rPh>
    <rPh sb="22" eb="24">
      <t>チョウセイ</t>
    </rPh>
    <rPh sb="25" eb="26">
      <t>オコナ</t>
    </rPh>
    <phoneticPr fontId="1"/>
  </si>
  <si>
    <t>３応能</t>
    <rPh sb="1" eb="3">
      <t>オウノウ</t>
    </rPh>
    <phoneticPr fontId="1"/>
  </si>
  <si>
    <t>３応益</t>
    <rPh sb="1" eb="2">
      <t>オウ</t>
    </rPh>
    <rPh sb="2" eb="3">
      <t>エキ</t>
    </rPh>
    <phoneticPr fontId="1"/>
  </si>
  <si>
    <t>４応能</t>
    <rPh sb="1" eb="3">
      <t>オウノウ</t>
    </rPh>
    <phoneticPr fontId="1"/>
  </si>
  <si>
    <r>
      <t>④　</t>
    </r>
    <r>
      <rPr>
        <b/>
        <sz val="11"/>
        <color indexed="12"/>
        <rFont val="ＭＳ Ｐゴシック"/>
        <family val="3"/>
        <charset val="128"/>
      </rPr>
      <t>その他所得</t>
    </r>
    <r>
      <rPr>
        <sz val="11"/>
        <color indexed="12"/>
        <rFont val="ＭＳ Ｐゴシック"/>
        <family val="3"/>
        <charset val="128"/>
      </rPr>
      <t>の営業、農業、その他の事業、不動産等の収入金額は必要経費を除いた</t>
    </r>
    <r>
      <rPr>
        <sz val="11"/>
        <color indexed="10"/>
        <rFont val="ＭＳ Ｐゴシック"/>
        <family val="3"/>
        <charset val="128"/>
      </rPr>
      <t>所得金額</t>
    </r>
    <r>
      <rPr>
        <sz val="11"/>
        <color indexed="12"/>
        <rFont val="ＭＳ Ｐゴシック"/>
        <family val="3"/>
        <charset val="128"/>
      </rPr>
      <t>を合計して入力してください。</t>
    </r>
    <rPh sb="44" eb="46">
      <t>ゴウケイ</t>
    </rPh>
    <phoneticPr fontId="1"/>
  </si>
  <si>
    <t>５応能</t>
    <rPh sb="1" eb="3">
      <t>オウノウ</t>
    </rPh>
    <phoneticPr fontId="1"/>
  </si>
  <si>
    <t>５応益</t>
    <rPh sb="1" eb="2">
      <t>オウ</t>
    </rPh>
    <rPh sb="2" eb="3">
      <t>エキ</t>
    </rPh>
    <phoneticPr fontId="1"/>
  </si>
  <si>
    <t>６応益</t>
    <rPh sb="1" eb="2">
      <t>オウ</t>
    </rPh>
    <rPh sb="2" eb="3">
      <t>エキ</t>
    </rPh>
    <phoneticPr fontId="1"/>
  </si>
  <si>
    <t>７応能</t>
    <rPh sb="1" eb="3">
      <t>オウノウ</t>
    </rPh>
    <phoneticPr fontId="1"/>
  </si>
  <si>
    <t>７応益</t>
    <rPh sb="1" eb="2">
      <t>オウ</t>
    </rPh>
    <rPh sb="2" eb="3">
      <t>エキ</t>
    </rPh>
    <phoneticPr fontId="1"/>
  </si>
  <si>
    <t>↑年税額の数字</t>
    <rPh sb="1" eb="4">
      <t>ネンゼイガク</t>
    </rPh>
    <rPh sb="5" eb="7">
      <t>スウジ</t>
    </rPh>
    <phoneticPr fontId="1"/>
  </si>
  <si>
    <t>８応能</t>
    <rPh sb="1" eb="3">
      <t>オウノウ</t>
    </rPh>
    <phoneticPr fontId="1"/>
  </si>
  <si>
    <t>８応益</t>
    <rPh sb="1" eb="2">
      <t>オウ</t>
    </rPh>
    <rPh sb="2" eb="3">
      <t>エキ</t>
    </rPh>
    <phoneticPr fontId="1"/>
  </si>
  <si>
    <t>計応益</t>
    <rPh sb="0" eb="1">
      <t>ケイ</t>
    </rPh>
    <rPh sb="1" eb="2">
      <t>オウ</t>
    </rPh>
    <rPh sb="2" eb="3">
      <t>エキ</t>
    </rPh>
    <phoneticPr fontId="1"/>
  </si>
  <si>
    <t>月割り限度額適用</t>
    <rPh sb="0" eb="2">
      <t>ツキワ</t>
    </rPh>
    <rPh sb="3" eb="8">
      <t>ゲンドガクテキヨウ</t>
    </rPh>
    <phoneticPr fontId="1"/>
  </si>
  <si>
    <t>医療分(所)</t>
    <rPh sb="0" eb="2">
      <t>イリョウ</t>
    </rPh>
    <rPh sb="2" eb="3">
      <t>ブン</t>
    </rPh>
    <rPh sb="4" eb="5">
      <t>トコロ</t>
    </rPh>
    <phoneticPr fontId="1"/>
  </si>
  <si>
    <t>R07旧高崎</t>
    <rPh sb="3" eb="4">
      <t>キュウ</t>
    </rPh>
    <rPh sb="4" eb="6">
      <t>タカサキ</t>
    </rPh>
    <phoneticPr fontId="1"/>
  </si>
  <si>
    <t>医療分(資)</t>
    <rPh sb="0" eb="2">
      <t>イリョウ</t>
    </rPh>
    <rPh sb="2" eb="3">
      <t>ブン</t>
    </rPh>
    <rPh sb="4" eb="5">
      <t>シ</t>
    </rPh>
    <phoneticPr fontId="1"/>
  </si>
  <si>
    <t>後期分(平)</t>
    <rPh sb="0" eb="2">
      <t>コウキ</t>
    </rPh>
    <rPh sb="2" eb="3">
      <t>ブン</t>
    </rPh>
    <rPh sb="4" eb="5">
      <t>タイラ</t>
    </rPh>
    <phoneticPr fontId="1"/>
  </si>
  <si>
    <t>医療分(均)</t>
    <rPh sb="0" eb="2">
      <t>イリョウ</t>
    </rPh>
    <rPh sb="2" eb="3">
      <t>ブン</t>
    </rPh>
    <rPh sb="4" eb="5">
      <t>キン</t>
    </rPh>
    <phoneticPr fontId="1"/>
  </si>
  <si>
    <t>医療分(平)</t>
    <rPh sb="0" eb="2">
      <t>イリョウ</t>
    </rPh>
    <rPh sb="2" eb="3">
      <t>ブン</t>
    </rPh>
    <rPh sb="4" eb="5">
      <t>タイラ</t>
    </rPh>
    <phoneticPr fontId="1"/>
  </si>
  <si>
    <t>後期分(所)</t>
    <rPh sb="0" eb="2">
      <t>コウキ</t>
    </rPh>
    <rPh sb="2" eb="3">
      <t>ブン</t>
    </rPh>
    <rPh sb="4" eb="5">
      <t>トコロ</t>
    </rPh>
    <phoneticPr fontId="1"/>
  </si>
  <si>
    <t>後期分(資)</t>
    <rPh sb="0" eb="2">
      <t>コウキ</t>
    </rPh>
    <rPh sb="2" eb="3">
      <t>ブン</t>
    </rPh>
    <rPh sb="4" eb="5">
      <t>シ</t>
    </rPh>
    <phoneticPr fontId="1"/>
  </si>
  <si>
    <t>後期分(均)</t>
    <rPh sb="0" eb="2">
      <t>コウキ</t>
    </rPh>
    <rPh sb="2" eb="3">
      <t>ブン</t>
    </rPh>
    <rPh sb="4" eb="5">
      <t>キン</t>
    </rPh>
    <phoneticPr fontId="1"/>
  </si>
  <si>
    <t>介護分(資)</t>
    <rPh sb="0" eb="2">
      <t>カイゴ</t>
    </rPh>
    <rPh sb="2" eb="3">
      <t>ブン</t>
    </rPh>
    <rPh sb="4" eb="5">
      <t>シ</t>
    </rPh>
    <phoneticPr fontId="1"/>
  </si>
  <si>
    <t>介護分(平)</t>
    <rPh sb="0" eb="2">
      <t>カイゴ</t>
    </rPh>
    <rPh sb="2" eb="3">
      <t>ブン</t>
    </rPh>
    <rPh sb="4" eb="5">
      <t>タイラ</t>
    </rPh>
    <phoneticPr fontId="1"/>
  </si>
  <si>
    <t>計
（小数2位）</t>
    <rPh sb="0" eb="1">
      <t>ケイ</t>
    </rPh>
    <rPh sb="3" eb="5">
      <t>ショウスウ</t>
    </rPh>
    <rPh sb="6" eb="7">
      <t>イ</t>
    </rPh>
    <phoneticPr fontId="1"/>
  </si>
  <si>
    <t>計
（調整後）</t>
    <rPh sb="0" eb="1">
      <t>ケイ</t>
    </rPh>
    <rPh sb="3" eb="6">
      <t>チョウセイゴ</t>
    </rPh>
    <phoneticPr fontId="1"/>
  </si>
  <si>
    <t>R05旧高崎</t>
    <rPh sb="3" eb="4">
      <t>キュウ</t>
    </rPh>
    <rPh sb="4" eb="6">
      <t>タカサキ</t>
    </rPh>
    <phoneticPr fontId="1"/>
  </si>
  <si>
    <t>計(小数2位)</t>
    <rPh sb="0" eb="1">
      <t>ケイ</t>
    </rPh>
    <rPh sb="2" eb="4">
      <t>ショウスウ</t>
    </rPh>
    <rPh sb="5" eb="6">
      <t>イ</t>
    </rPh>
    <phoneticPr fontId="1"/>
  </si>
  <si>
    <t>軽減なし</t>
  </si>
  <si>
    <t>月割分で計算。端数処理前</t>
    <rPh sb="0" eb="2">
      <t>ツキワ</t>
    </rPh>
    <rPh sb="2" eb="3">
      <t>ブン</t>
    </rPh>
    <rPh sb="4" eb="6">
      <t>ケイサン</t>
    </rPh>
    <rPh sb="7" eb="9">
      <t>ハスウ</t>
    </rPh>
    <rPh sb="9" eb="11">
      <t>ショリ</t>
    </rPh>
    <rPh sb="11" eb="12">
      <t>マエ</t>
    </rPh>
    <phoneticPr fontId="1"/>
  </si>
  <si>
    <t>※個人単位：月割り限度額等計算</t>
    <rPh sb="1" eb="3">
      <t>コジン</t>
    </rPh>
    <rPh sb="3" eb="5">
      <t>タンイ</t>
    </rPh>
    <rPh sb="6" eb="8">
      <t>ツキワ</t>
    </rPh>
    <rPh sb="9" eb="11">
      <t>ゲンド</t>
    </rPh>
    <rPh sb="11" eb="12">
      <t>ガク</t>
    </rPh>
    <rPh sb="12" eb="13">
      <t>トウ</t>
    </rPh>
    <rPh sb="13" eb="15">
      <t>ケイサン</t>
    </rPh>
    <phoneticPr fontId="1"/>
  </si>
  <si>
    <t>※加入期間に合わせ計算しています。</t>
    <rPh sb="1" eb="3">
      <t>カニュウ</t>
    </rPh>
    <rPh sb="3" eb="5">
      <t>キカン</t>
    </rPh>
    <rPh sb="6" eb="7">
      <t>ア</t>
    </rPh>
    <rPh sb="9" eb="11">
      <t>ケイサン</t>
    </rPh>
    <phoneticPr fontId="1"/>
  </si>
  <si>
    <r>
      <t>保険税額</t>
    </r>
    <r>
      <rPr>
        <b/>
        <sz val="9"/>
        <color indexed="10"/>
        <rFont val="ＭＳ ゴシック"/>
        <family val="3"/>
        <charset val="128"/>
      </rPr>
      <t>（加入月分）</t>
    </r>
    <rPh sb="0" eb="1">
      <t>ホ</t>
    </rPh>
    <rPh sb="1" eb="2">
      <t>ケン</t>
    </rPh>
    <rPh sb="2" eb="3">
      <t>ゼイ</t>
    </rPh>
    <rPh sb="3" eb="4">
      <t>ガク</t>
    </rPh>
    <rPh sb="5" eb="7">
      <t>カニュウ</t>
    </rPh>
    <rPh sb="7" eb="8">
      <t>ツキ</t>
    </rPh>
    <rPh sb="8" eb="9">
      <t>ブン</t>
    </rPh>
    <phoneticPr fontId="1"/>
  </si>
  <si>
    <t>※主が未加入又は介護非該当だが、平等割のみ計上している場合、網掛けとなります。</t>
    <rPh sb="1" eb="2">
      <t>ヌシ</t>
    </rPh>
    <rPh sb="3" eb="6">
      <t>ミカニュウ</t>
    </rPh>
    <rPh sb="6" eb="7">
      <t>マタ</t>
    </rPh>
    <rPh sb="8" eb="10">
      <t>カイゴ</t>
    </rPh>
    <rPh sb="10" eb="13">
      <t>ヒガイトウ</t>
    </rPh>
    <rPh sb="16" eb="18">
      <t>ビョウドウ</t>
    </rPh>
    <rPh sb="18" eb="19">
      <t>ワリ</t>
    </rPh>
    <rPh sb="21" eb="23">
      <t>ケイジョウ</t>
    </rPh>
    <rPh sb="27" eb="29">
      <t>バアイ</t>
    </rPh>
    <rPh sb="30" eb="32">
      <t>アミカ</t>
    </rPh>
    <phoneticPr fontId="1"/>
  </si>
  <si>
    <t>医療･後期
加入月数</t>
    <rPh sb="0" eb="2">
      <t>イリョウ</t>
    </rPh>
    <rPh sb="3" eb="5">
      <t>コウキ</t>
    </rPh>
    <rPh sb="6" eb="8">
      <t>カニュウ</t>
    </rPh>
    <rPh sb="8" eb="10">
      <t>ツキスウ</t>
    </rPh>
    <phoneticPr fontId="1"/>
  </si>
  <si>
    <t>介護
加入月数</t>
    <rPh sb="0" eb="2">
      <t>カイゴ</t>
    </rPh>
    <rPh sb="3" eb="5">
      <t>カニュウ</t>
    </rPh>
    <rPh sb="5" eb="7">
      <t>ツキスウ</t>
    </rPh>
    <phoneticPr fontId="1"/>
  </si>
  <si>
    <t>R03旧高崎</t>
    <rPh sb="3" eb="4">
      <t>キュウ</t>
    </rPh>
    <rPh sb="4" eb="6">
      <t>タカサキ</t>
    </rPh>
    <phoneticPr fontId="1"/>
  </si>
  <si>
    <t>高崎市　保険年金課　資格賦課担当</t>
  </si>
  <si>
    <t>TEL ０２７－３２１－１２３５（直通）</t>
  </si>
  <si>
    <t>⑤特例軽減該当</t>
    <rPh sb="1" eb="3">
      <t>トクレイ</t>
    </rPh>
    <rPh sb="3" eb="5">
      <t>ケイゲン</t>
    </rPh>
    <rPh sb="5" eb="7">
      <t>ガイトウ</t>
    </rPh>
    <phoneticPr fontId="1"/>
  </si>
  <si>
    <t>⑥年度途中
脱退月</t>
    <rPh sb="1" eb="3">
      <t>ネンド</t>
    </rPh>
    <rPh sb="3" eb="5">
      <t>トチュウ</t>
    </rPh>
    <rPh sb="6" eb="8">
      <t>ダッタイ</t>
    </rPh>
    <rPh sb="8" eb="9">
      <t>ツキ</t>
    </rPh>
    <phoneticPr fontId="1"/>
  </si>
  <si>
    <t>R04旧高崎</t>
    <rPh sb="3" eb="4">
      <t>キュウ</t>
    </rPh>
    <rPh sb="4" eb="6">
      <t>タカサキ</t>
    </rPh>
    <phoneticPr fontId="1"/>
  </si>
  <si>
    <t>R06旧高崎</t>
    <rPh sb="3" eb="4">
      <t>キュウ</t>
    </rPh>
    <rPh sb="4" eb="6">
      <t>タカサキ</t>
    </rPh>
    <phoneticPr fontId="1"/>
  </si>
  <si>
    <t>子ども分</t>
    <rPh sb="0" eb="1">
      <t>コ</t>
    </rPh>
    <rPh sb="3" eb="4">
      <t>ブン</t>
    </rPh>
    <phoneticPr fontId="1"/>
  </si>
  <si>
    <t>子ども</t>
    <rPh sb="0" eb="1">
      <t>コ</t>
    </rPh>
    <phoneticPr fontId="1"/>
  </si>
  <si>
    <t>給与所得者等要件基準額</t>
    <rPh sb="0" eb="5">
      <t>キュウヨショトクシャ</t>
    </rPh>
    <rPh sb="5" eb="6">
      <t>トウ</t>
    </rPh>
    <rPh sb="6" eb="8">
      <t>ヨウケン</t>
    </rPh>
    <rPh sb="8" eb="11">
      <t>キジュンガク</t>
    </rPh>
    <phoneticPr fontId="1"/>
  </si>
  <si>
    <t>子ども分(所)</t>
    <rPh sb="3" eb="4">
      <t>ブン</t>
    </rPh>
    <rPh sb="5" eb="6">
      <t>トコロ</t>
    </rPh>
    <phoneticPr fontId="1"/>
  </si>
  <si>
    <t>子ども分(資)</t>
    <rPh sb="3" eb="4">
      <t>ブン</t>
    </rPh>
    <rPh sb="5" eb="6">
      <t>シ</t>
    </rPh>
    <phoneticPr fontId="1"/>
  </si>
  <si>
    <t>子ども分(均)</t>
    <rPh sb="3" eb="4">
      <t>ブン</t>
    </rPh>
    <rPh sb="5" eb="6">
      <t>キン</t>
    </rPh>
    <phoneticPr fontId="1"/>
  </si>
  <si>
    <t>子ども分(平)</t>
    <rPh sb="3" eb="4">
      <t>ブン</t>
    </rPh>
    <rPh sb="5" eb="6">
      <t>タイラ</t>
    </rPh>
    <phoneticPr fontId="1"/>
  </si>
  <si>
    <t>子ども分（月割分で計算。端数処理前）</t>
    <rPh sb="0" eb="1">
      <t>コ</t>
    </rPh>
    <rPh sb="3" eb="4">
      <t>ブン</t>
    </rPh>
    <rPh sb="5" eb="7">
      <t>ツキワ</t>
    </rPh>
    <rPh sb="7" eb="8">
      <t>ブン</t>
    </rPh>
    <rPh sb="9" eb="11">
      <t>ケイサン</t>
    </rPh>
    <rPh sb="12" eb="14">
      <t>ハスウ</t>
    </rPh>
    <rPh sb="14" eb="16">
      <t>ショリ</t>
    </rPh>
    <rPh sb="16" eb="17">
      <t>マエ</t>
    </rPh>
    <phoneticPr fontId="1"/>
  </si>
  <si>
    <t>後期分（月割分で計算。端数処理前）</t>
    <rPh sb="0" eb="2">
      <t>コウキ</t>
    </rPh>
    <rPh sb="2" eb="3">
      <t>ブン</t>
    </rPh>
    <rPh sb="4" eb="6">
      <t>ツキワ</t>
    </rPh>
    <rPh sb="6" eb="7">
      <t>ブン</t>
    </rPh>
    <rPh sb="8" eb="10">
      <t>ケイサン</t>
    </rPh>
    <rPh sb="11" eb="13">
      <t>ハスウ</t>
    </rPh>
    <rPh sb="13" eb="15">
      <t>ショリ</t>
    </rPh>
    <rPh sb="15" eb="16">
      <t>マエ</t>
    </rPh>
    <phoneticPr fontId="1"/>
  </si>
  <si>
    <t>R08旧高崎</t>
    <rPh sb="3" eb="4">
      <t>キュウ</t>
    </rPh>
    <rPh sb="4" eb="6">
      <t>タカサキ</t>
    </rPh>
    <phoneticPr fontId="1"/>
  </si>
  <si>
    <t>※主が未加入だが、平等割のみ計上している場合、網掛けとなります。</t>
    <rPh sb="1" eb="2">
      <t>ヌシ</t>
    </rPh>
    <rPh sb="3" eb="6">
      <t>ミカニュウ</t>
    </rPh>
    <rPh sb="9" eb="11">
      <t>ビョウドウ</t>
    </rPh>
    <rPh sb="11" eb="12">
      <t>ワリ</t>
    </rPh>
    <rPh sb="14" eb="16">
      <t>ケイジョウ</t>
    </rPh>
    <rPh sb="20" eb="22">
      <t>バアイ</t>
    </rPh>
    <rPh sb="23" eb="25">
      <t>アミカ</t>
    </rPh>
    <phoneticPr fontId="1"/>
  </si>
  <si>
    <t>加入月</t>
    <rPh sb="0" eb="2">
      <t>カニュウ</t>
    </rPh>
    <rPh sb="2" eb="3">
      <t>ヅキ</t>
    </rPh>
    <phoneticPr fontId="1"/>
  </si>
  <si>
    <r>
      <rPr>
        <sz val="10"/>
        <rFont val="ＭＳ ゴシック"/>
        <family val="3"/>
        <charset val="128"/>
      </rPr>
      <t>加入月【</t>
    </r>
    <r>
      <rPr>
        <sz val="9"/>
        <rFont val="ＭＳ ゴシック"/>
        <family val="3"/>
        <charset val="128"/>
      </rPr>
      <t>上段●：医療・後期・子ども 、下段■：介護</t>
    </r>
    <r>
      <rPr>
        <sz val="11"/>
        <rFont val="ＭＳ ゴシック"/>
        <family val="3"/>
        <charset val="128"/>
      </rPr>
      <t xml:space="preserve">
</t>
    </r>
    <r>
      <rPr>
        <sz val="10"/>
        <rFont val="ＭＳ ゴシック"/>
        <family val="3"/>
        <charset val="128"/>
      </rPr>
      <t>　　　　</t>
    </r>
    <r>
      <rPr>
        <sz val="9"/>
        <rFont val="ＭＳ ゴシック"/>
        <family val="3"/>
        <charset val="128"/>
      </rPr>
      <t>上段▲：医療・後期・</t>
    </r>
    <r>
      <rPr>
        <b/>
        <u/>
        <sz val="9"/>
        <color rgb="FF0070C0"/>
        <rFont val="ＭＳ ゴシック"/>
        <family val="3"/>
        <charset val="128"/>
      </rPr>
      <t>子ども(均等割なし)</t>
    </r>
    <r>
      <rPr>
        <sz val="10"/>
        <rFont val="ＭＳ ゴシック"/>
        <family val="3"/>
        <charset val="128"/>
      </rPr>
      <t>】</t>
    </r>
    <rPh sb="0" eb="2">
      <t>カニュウ</t>
    </rPh>
    <rPh sb="2" eb="3">
      <t>ヅキ</t>
    </rPh>
    <rPh sb="4" eb="6">
      <t>ジョウダン</t>
    </rPh>
    <rPh sb="8" eb="10">
      <t>イリョウ</t>
    </rPh>
    <rPh sb="11" eb="13">
      <t>コウキ</t>
    </rPh>
    <rPh sb="14" eb="15">
      <t>コ</t>
    </rPh>
    <rPh sb="40" eb="41">
      <t>コ</t>
    </rPh>
    <rPh sb="44" eb="47">
      <t>キントウワリ</t>
    </rPh>
    <phoneticPr fontId="1"/>
  </si>
  <si>
    <t>医療･後期･介護･子ども 計</t>
    <rPh sb="0" eb="2">
      <t>イリョウ</t>
    </rPh>
    <rPh sb="3" eb="5">
      <t>コウキ</t>
    </rPh>
    <rPh sb="6" eb="8">
      <t>カイゴ</t>
    </rPh>
    <rPh sb="9" eb="10">
      <t>コ</t>
    </rPh>
    <rPh sb="13" eb="14">
      <t>ケイ</t>
    </rPh>
    <phoneticPr fontId="1"/>
  </si>
  <si>
    <t>医 療 分</t>
    <rPh sb="0" eb="1">
      <t>イ</t>
    </rPh>
    <rPh sb="2" eb="3">
      <t>リョウ</t>
    </rPh>
    <rPh sb="4" eb="5">
      <t>ブン</t>
    </rPh>
    <phoneticPr fontId="1"/>
  </si>
  <si>
    <t>後 期 分</t>
    <rPh sb="0" eb="1">
      <t>ノチ</t>
    </rPh>
    <rPh sb="2" eb="3">
      <t>キ</t>
    </rPh>
    <rPh sb="4" eb="5">
      <t>ブン</t>
    </rPh>
    <phoneticPr fontId="1"/>
  </si>
  <si>
    <t>介 護 分</t>
    <rPh sb="0" eb="1">
      <t>スケ</t>
    </rPh>
    <rPh sb="2" eb="3">
      <t>マモル</t>
    </rPh>
    <rPh sb="4" eb="5">
      <t>ブン</t>
    </rPh>
    <phoneticPr fontId="1"/>
  </si>
  <si>
    <t>後 期 分 税額</t>
    <rPh sb="0" eb="1">
      <t>ノチ</t>
    </rPh>
    <rPh sb="2" eb="3">
      <t>キ</t>
    </rPh>
    <rPh sb="4" eb="5">
      <t>ブン</t>
    </rPh>
    <rPh sb="6" eb="8">
      <t>ゼイガク</t>
    </rPh>
    <phoneticPr fontId="1"/>
  </si>
  <si>
    <t>月割限度等調整後</t>
    <rPh sb="0" eb="2">
      <t>ツキワ</t>
    </rPh>
    <rPh sb="2" eb="4">
      <t>ゲンド</t>
    </rPh>
    <rPh sb="4" eb="5">
      <t>トウ</t>
    </rPh>
    <rPh sb="5" eb="8">
      <t>チョウセイゴ</t>
    </rPh>
    <phoneticPr fontId="1"/>
  </si>
  <si>
    <t>※HP用の時は「しない」を選択してください。</t>
    <rPh sb="3" eb="4">
      <t>ヨウ</t>
    </rPh>
    <rPh sb="5" eb="6">
      <t>トキ</t>
    </rPh>
    <rPh sb="13" eb="15">
      <t>センタク</t>
    </rPh>
    <phoneticPr fontId="1"/>
  </si>
  <si>
    <t>給与収入</t>
    <rPh sb="0" eb="4">
      <t>キュウヨシュウニュウ</t>
    </rPh>
    <phoneticPr fontId="1"/>
  </si>
  <si>
    <t>年金収入（65歳以上）</t>
    <rPh sb="0" eb="4">
      <t>ネンキンシュウニュウ</t>
    </rPh>
    <rPh sb="7" eb="8">
      <t>サイ</t>
    </rPh>
    <rPh sb="8" eb="10">
      <t>イジョウ</t>
    </rPh>
    <phoneticPr fontId="1"/>
  </si>
  <si>
    <t>国　保</t>
  </si>
  <si>
    <t>しない</t>
  </si>
  <si>
    <t>未申告者有り</t>
  </si>
  <si>
    <t>高崎市　保険年金課　資格賦課担当</t>
    <rPh sb="0" eb="3">
      <t>タカサキシ</t>
    </rPh>
    <rPh sb="4" eb="9">
      <t>ホケンネンキンカ</t>
    </rPh>
    <rPh sb="10" eb="12">
      <t>シカク</t>
    </rPh>
    <rPh sb="12" eb="14">
      <t>フカ</t>
    </rPh>
    <rPh sb="14" eb="16">
      <t>タントウ</t>
    </rPh>
    <phoneticPr fontId="1"/>
  </si>
  <si>
    <r>
      <t>③　</t>
    </r>
    <r>
      <rPr>
        <b/>
        <sz val="11"/>
        <color indexed="12"/>
        <rFont val="ＭＳ Ｐゴシック"/>
        <family val="3"/>
        <charset val="128"/>
      </rPr>
      <t>年金収入</t>
    </r>
    <r>
      <rPr>
        <sz val="11"/>
        <color indexed="12"/>
        <rFont val="ＭＳ Ｐゴシック"/>
        <family val="3"/>
        <charset val="128"/>
      </rPr>
      <t>（公的年金)は、源泉徴収票の</t>
    </r>
    <r>
      <rPr>
        <sz val="11"/>
        <color indexed="10"/>
        <rFont val="ＭＳ Ｐゴシック"/>
        <family val="3"/>
        <charset val="128"/>
      </rPr>
      <t>支払金額</t>
    </r>
    <r>
      <rPr>
        <sz val="11"/>
        <color indexed="12"/>
        <rFont val="ＭＳ Ｐゴシック"/>
        <family val="3"/>
        <charset val="128"/>
      </rPr>
      <t>を入力してください。（遺族年金、障害年金は除いてください。）※</t>
    </r>
    <r>
      <rPr>
        <sz val="11"/>
        <color rgb="FFFF0000"/>
        <rFont val="ＭＳ Ｐゴシック"/>
        <family val="3"/>
        <charset val="128"/>
      </rPr>
      <t>公的年金以外の合計所得が1,000万円を超え</t>
    </r>
    <r>
      <rPr>
        <sz val="11"/>
        <color indexed="12"/>
        <rFont val="ＭＳ Ｐゴシック"/>
        <family val="3"/>
        <charset val="128"/>
      </rPr>
      <t>た場合は対応していません。</t>
    </r>
    <rPh sb="2" eb="4">
      <t>ネンキン</t>
    </rPh>
    <rPh sb="4" eb="6">
      <t>シュウニュウ</t>
    </rPh>
    <rPh sb="55" eb="57">
      <t>コウテキ</t>
    </rPh>
    <rPh sb="57" eb="59">
      <t>ネンキン</t>
    </rPh>
    <rPh sb="59" eb="61">
      <t>イガイ</t>
    </rPh>
    <rPh sb="62" eb="64">
      <t>ゴウケイ</t>
    </rPh>
    <rPh sb="64" eb="66">
      <t>ショトク</t>
    </rPh>
    <rPh sb="72" eb="74">
      <t>マンエン</t>
    </rPh>
    <rPh sb="75" eb="76">
      <t>コ</t>
    </rPh>
    <rPh sb="78" eb="80">
      <t>バアイ</t>
    </rPh>
    <rPh sb="81" eb="83">
      <t>タイオウ</t>
    </rPh>
    <phoneticPr fontId="1"/>
  </si>
  <si>
    <r>
      <t xml:space="preserve"> 　　　　⑤　</t>
    </r>
    <r>
      <rPr>
        <b/>
        <sz val="11"/>
        <color rgb="FFFF0000"/>
        <rFont val="ＭＳ Ｐゴシック"/>
        <family val="3"/>
        <charset val="128"/>
      </rPr>
      <t>所得に応じた均等割・平等割の軽減判定には対応していません。</t>
    </r>
    <r>
      <rPr>
        <sz val="11"/>
        <color indexed="12"/>
        <rFont val="ＭＳ Ｐゴシック"/>
        <family val="3"/>
        <charset val="128"/>
      </rPr>
      <t xml:space="preserve">
         ※</t>
    </r>
    <r>
      <rPr>
        <sz val="11"/>
        <color rgb="FF3333FF"/>
        <rFont val="ＭＳ Ｐゴシック"/>
        <family val="3"/>
        <charset val="128"/>
      </rPr>
      <t>　</t>
    </r>
    <r>
      <rPr>
        <b/>
        <sz val="11"/>
        <color rgb="FF3333FF"/>
        <rFont val="ＭＳ Ｐゴシック"/>
        <family val="3"/>
        <charset val="128"/>
      </rPr>
      <t>特定同一世帯所属者</t>
    </r>
    <r>
      <rPr>
        <sz val="11"/>
        <color rgb="FF3333FF"/>
        <rFont val="ＭＳ Ｐゴシック"/>
        <family val="3"/>
        <charset val="128"/>
      </rPr>
      <t>（旧国保被保険者）の軽減判定及び</t>
    </r>
    <r>
      <rPr>
        <b/>
        <sz val="11"/>
        <color rgb="FF3333FF"/>
        <rFont val="ＭＳ Ｐゴシック"/>
        <family val="3"/>
        <charset val="128"/>
      </rPr>
      <t>条例減免</t>
    </r>
    <r>
      <rPr>
        <sz val="11"/>
        <color rgb="FF3333FF"/>
        <rFont val="ＭＳ Ｐゴシック"/>
        <family val="3"/>
        <charset val="128"/>
      </rPr>
      <t>には対応していません。</t>
    </r>
    <r>
      <rPr>
        <sz val="11"/>
        <color indexed="12"/>
        <rFont val="ＭＳ Ｐゴシック"/>
        <family val="3"/>
        <charset val="128"/>
      </rPr>
      <t xml:space="preserve">
         ※　</t>
    </r>
    <r>
      <rPr>
        <b/>
        <sz val="11"/>
        <color rgb="FFFF0000"/>
        <rFont val="ＭＳ Ｐゴシック"/>
        <family val="3"/>
        <charset val="128"/>
      </rPr>
      <t>世帯主が国保に加入していない場合</t>
    </r>
    <r>
      <rPr>
        <sz val="11"/>
        <color indexed="12"/>
        <rFont val="ＭＳ Ｐゴシック"/>
        <family val="3"/>
        <charset val="128"/>
      </rPr>
      <t>は使えません。</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</si>
</sst>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_);[Red]\(#,##0\)"/>
    <numFmt numFmtId="177" formatCode="0_ "/>
    <numFmt numFmtId="178" formatCode="[$-411]gee\.mm\.dd;@"/>
    <numFmt numFmtId="179" formatCode="0\ \ &quot;人&quot;"/>
    <numFmt numFmtId="180" formatCode="#,##0;&quot;▲&quot;#,##0"/>
    <numFmt numFmtId="181" formatCode="#,##0;[Red]&quot;▲&quot;#,##0"/>
    <numFmt numFmtId="182" formatCode="0&quot; 月分 &quot;"/>
    <numFmt numFmtId="183" formatCode="0\ &quot;月&quot;&quot;加&quot;&quot;入&quot;"/>
    <numFmt numFmtId="184" formatCode="#,##0\ ;[Red]\-#,##0\ "/>
    <numFmt numFmtId="185" formatCode="0\ &quot;月&quot;&quot;脱退&quot;"/>
    <numFmt numFmtId="186" formatCode="&quot; 計：&quot;#,##0\ "/>
    <numFmt numFmtId="187" formatCode="0&quot; &quot;&quot;月 &quot;"/>
    <numFmt numFmtId="188" formatCode="0\ &quot;月&quot;"/>
    <numFmt numFmtId="189" formatCode="[&lt;=999]000;[&lt;=9999]000\-00;000\-0000"/>
    <numFmt numFmtId="190" formatCode="#,##0\ \ "/>
    <numFmt numFmtId="191" formatCode="0.00000"/>
    <numFmt numFmtId="192" formatCode="#,##0;&quot;▲ &quot;#,##0"/>
    <numFmt numFmtId="193" formatCode="0\ &quot;年&quot;&quot;度&quot;"/>
    <numFmt numFmtId="194" formatCode="#,##0.0_ ;[Red]\-#,##0.0\ "/>
    <numFmt numFmtId="195" formatCode="#,##0_ ;[Red]\-#,##0\ "/>
  </numFmts>
  <fonts count="70" x14ac:knownFonts="1">
    <font>
      <sz val="11"/>
      <name val="ＭＳ Ｐゴシック"/>
      <family val="3"/>
    </font>
    <font>
      <sz val="6"/>
      <name val="ＭＳ Ｐゴシック"/>
      <family val="3"/>
    </font>
    <font>
      <sz val="11"/>
      <name val="ＭＳ ゴシック"/>
      <family val="3"/>
    </font>
    <font>
      <b/>
      <sz val="11"/>
      <color indexed="18"/>
      <name val="ＭＳ Ｐゴシック"/>
      <family val="3"/>
    </font>
    <font>
      <b/>
      <sz val="11"/>
      <color indexed="53"/>
      <name val="ＭＳ Ｐゴシック"/>
      <family val="3"/>
    </font>
    <font>
      <sz val="11"/>
      <color indexed="12"/>
      <name val="ＭＳ Ｐゴシック"/>
      <family val="3"/>
    </font>
    <font>
      <b/>
      <sz val="11"/>
      <color rgb="FF3333FF"/>
      <name val="ＭＳ Ｐゴシック"/>
      <family val="3"/>
    </font>
    <font>
      <sz val="10"/>
      <name val="ＭＳ ゴシック"/>
      <family val="3"/>
    </font>
    <font>
      <sz val="10"/>
      <name val="ＭＳ Ｐゴシック"/>
      <family val="3"/>
    </font>
    <font>
      <b/>
      <sz val="14"/>
      <color theme="0"/>
      <name val="ＭＳ ゴシック"/>
      <family val="3"/>
    </font>
    <font>
      <sz val="11"/>
      <color theme="0"/>
      <name val="ＭＳ ゴシック"/>
      <family val="3"/>
    </font>
    <font>
      <b/>
      <sz val="11"/>
      <color rgb="FFFF33CC"/>
      <name val="ＭＳ ゴシック"/>
      <family val="3"/>
    </font>
    <font>
      <b/>
      <sz val="10"/>
      <color theme="5" tint="-0.249977111117893"/>
      <name val="ＭＳ ゴシック"/>
      <family val="3"/>
    </font>
    <font>
      <b/>
      <sz val="13"/>
      <color rgb="FFFF0000"/>
      <name val="ＭＳ Ｐゴシック"/>
      <family val="3"/>
    </font>
    <font>
      <b/>
      <i/>
      <sz val="16"/>
      <color rgb="FFFF0000"/>
      <name val="ＭＳ ゴシック"/>
      <family val="3"/>
    </font>
    <font>
      <sz val="11"/>
      <name val="ＭＳ Ｐゴシック"/>
      <family val="3"/>
    </font>
    <font>
      <b/>
      <sz val="11"/>
      <color theme="0"/>
      <name val="ＭＳ ゴシック"/>
      <family val="3"/>
    </font>
    <font>
      <b/>
      <sz val="11"/>
      <color indexed="12"/>
      <name val="ＭＳ ゴシック"/>
      <family val="3"/>
    </font>
    <font>
      <b/>
      <sz val="11"/>
      <color indexed="10"/>
      <name val="ＭＳ ゴシック"/>
      <family val="3"/>
    </font>
    <font>
      <u/>
      <sz val="9"/>
      <color rgb="FFCC3399"/>
      <name val="ＭＳ ゴシック"/>
      <family val="3"/>
    </font>
    <font>
      <sz val="11"/>
      <color indexed="12"/>
      <name val="ＭＳ ゴシック"/>
      <family val="3"/>
    </font>
    <font>
      <sz val="9"/>
      <color rgb="FFFF0000"/>
      <name val="ＭＳ 明朝"/>
      <family val="1"/>
    </font>
    <font>
      <sz val="9"/>
      <name val="ＭＳ ゴシック"/>
      <family val="3"/>
    </font>
    <font>
      <sz val="8"/>
      <name val="ＭＳ ゴシック"/>
      <family val="3"/>
    </font>
    <font>
      <sz val="12"/>
      <name val="ＭＳ ゴシック"/>
      <family val="3"/>
    </font>
    <font>
      <b/>
      <u/>
      <sz val="11"/>
      <color rgb="FFFF9900"/>
      <name val="ＭＳ ゴシック"/>
      <family val="3"/>
    </font>
    <font>
      <b/>
      <sz val="18"/>
      <name val="ＭＳ ゴシック"/>
      <family val="3"/>
    </font>
    <font>
      <b/>
      <sz val="18"/>
      <name val="ＭＳ Ｐゴシック"/>
      <family val="3"/>
    </font>
    <font>
      <sz val="12"/>
      <color rgb="FFFF0000"/>
      <name val="ＭＳ Ｐゴシック"/>
      <family val="3"/>
    </font>
    <font>
      <sz val="12"/>
      <name val="ＭＳ Ｐゴシック"/>
      <family val="3"/>
    </font>
    <font>
      <sz val="14"/>
      <name val="ＭＳ ゴシック"/>
      <family val="3"/>
    </font>
    <font>
      <sz val="24"/>
      <color rgb="FFFF0000"/>
      <name val="ＭＳ ゴシック"/>
      <family val="3"/>
    </font>
    <font>
      <sz val="24"/>
      <name val="ＭＳ Ｐゴシック"/>
      <family val="3"/>
    </font>
    <font>
      <sz val="26"/>
      <color rgb="FFFF0000"/>
      <name val="ＭＳ ゴシック"/>
      <family val="3"/>
    </font>
    <font>
      <sz val="26"/>
      <color rgb="FFFF0000"/>
      <name val="ＭＳ Ｐゴシック"/>
      <family val="3"/>
    </font>
    <font>
      <b/>
      <sz val="11"/>
      <name val="ＭＳ ゴシック"/>
      <family val="3"/>
    </font>
    <font>
      <b/>
      <sz val="11"/>
      <color rgb="FFFF0000"/>
      <name val="ＭＳ Ｐゴシック"/>
      <family val="3"/>
    </font>
    <font>
      <sz val="9.5"/>
      <color rgb="FFFF0000"/>
      <name val="ＭＳ ゴシック"/>
      <family val="3"/>
    </font>
    <font>
      <sz val="11"/>
      <color rgb="FFFF0000"/>
      <name val="ＭＳ ゴシック"/>
      <family val="3"/>
    </font>
    <font>
      <b/>
      <sz val="11"/>
      <color rgb="FFFF0000"/>
      <name val="ＭＳ ゴシック"/>
      <family val="3"/>
    </font>
    <font>
      <b/>
      <sz val="11"/>
      <name val="ＭＳ Ｐゴシック"/>
      <family val="3"/>
    </font>
    <font>
      <sz val="11"/>
      <color rgb="FFFF0000"/>
      <name val="ＭＳ Ｐゴシック"/>
      <family val="3"/>
    </font>
    <font>
      <sz val="18"/>
      <name val="ＭＳ ゴシック"/>
      <family val="3"/>
    </font>
    <font>
      <sz val="11"/>
      <name val="ＭＳ 明朝"/>
      <family val="1"/>
    </font>
    <font>
      <b/>
      <u/>
      <sz val="12"/>
      <color indexed="10"/>
      <name val="ＭＳ Ｐゴシック"/>
      <family val="3"/>
      <charset val="128"/>
    </font>
    <font>
      <b/>
      <sz val="11"/>
      <color indexed="18"/>
      <name val="ＭＳ Ｐゴシック"/>
      <family val="3"/>
      <charset val="128"/>
    </font>
    <font>
      <b/>
      <sz val="11"/>
      <color indexed="53"/>
      <name val="ＭＳ Ｐゴシック"/>
      <family val="3"/>
      <charset val="128"/>
    </font>
    <font>
      <sz val="8"/>
      <name val="ＭＳ ゴシック"/>
      <family val="3"/>
      <charset val="128"/>
    </font>
    <font>
      <b/>
      <u/>
      <sz val="11"/>
      <name val="ＭＳ ゴシック"/>
      <family val="3"/>
      <charset val="128"/>
    </font>
    <font>
      <sz val="10"/>
      <name val="ＭＳ ゴシック"/>
      <family val="3"/>
      <charset val="128"/>
    </font>
    <font>
      <sz val="9"/>
      <name val="ＭＳ ゴシック"/>
      <family val="3"/>
      <charset val="128"/>
    </font>
    <font>
      <b/>
      <sz val="11"/>
      <color indexed="12"/>
      <name val="ＭＳ Ｐゴシック"/>
      <family val="3"/>
      <charset val="128"/>
    </font>
    <font>
      <sz val="11"/>
      <color indexed="12"/>
      <name val="ＭＳ Ｐゴシック"/>
      <family val="3"/>
      <charset val="128"/>
    </font>
    <font>
      <sz val="11"/>
      <color indexed="10"/>
      <name val="ＭＳ Ｐゴシック"/>
      <family val="3"/>
      <charset val="128"/>
    </font>
    <font>
      <sz val="11"/>
      <color rgb="FFFF0000"/>
      <name val="ＭＳ Ｐゴシック"/>
      <family val="3"/>
      <charset val="128"/>
    </font>
    <font>
      <sz val="12"/>
      <name val="ＭＳ ゴシック"/>
      <family val="3"/>
      <charset val="128"/>
    </font>
    <font>
      <sz val="9"/>
      <color rgb="FFFF0000"/>
      <name val="ＭＳ ゴシック"/>
      <family val="3"/>
      <charset val="128"/>
    </font>
    <font>
      <b/>
      <sz val="9"/>
      <color indexed="10"/>
      <name val="ＭＳ ゴシック"/>
      <family val="3"/>
      <charset val="128"/>
    </font>
    <font>
      <sz val="11"/>
      <name val="ＭＳ ゴシック"/>
      <family val="3"/>
      <charset val="128"/>
    </font>
    <font>
      <b/>
      <u/>
      <sz val="9"/>
      <color rgb="FF0070C0"/>
      <name val="ＭＳ ゴシック"/>
      <family val="3"/>
      <charset val="128"/>
    </font>
    <font>
      <b/>
      <sz val="11"/>
      <color rgb="FFFF0000"/>
      <name val="ＭＳ Ｐゴシック"/>
      <family val="3"/>
      <charset val="128"/>
    </font>
    <font>
      <sz val="11"/>
      <color rgb="FF3333FF"/>
      <name val="ＭＳ Ｐゴシック"/>
      <family val="3"/>
      <charset val="128"/>
    </font>
    <font>
      <b/>
      <sz val="11"/>
      <color rgb="FF3333FF"/>
      <name val="ＭＳ Ｐゴシック"/>
      <family val="3"/>
      <charset val="128"/>
    </font>
    <font>
      <sz val="11"/>
      <color rgb="FF333399"/>
      <name val="ＭＳ Ｐゴシック"/>
      <family val="3"/>
      <charset val="128"/>
    </font>
    <font>
      <sz val="11"/>
      <color rgb="FF0000FF"/>
      <name val="ＭＳ Ｐゴシック"/>
      <family val="3"/>
      <charset val="128"/>
    </font>
    <font>
      <sz val="11"/>
      <color rgb="FFFF9900"/>
      <name val="ＭＳ Ｐゴシック"/>
      <family val="3"/>
      <charset val="128"/>
    </font>
    <font>
      <sz val="10"/>
      <color rgb="FF008080"/>
      <name val="ＭＳ Ｐゴシック"/>
      <family val="3"/>
      <charset val="128"/>
    </font>
    <font>
      <sz val="10"/>
      <color rgb="FFFF00FF"/>
      <name val="ＭＳ Ｐゴシック"/>
      <family val="3"/>
      <charset val="128"/>
    </font>
    <font>
      <sz val="12"/>
      <color indexed="81"/>
      <name val="ＭＳ 明朝"/>
      <family val="1"/>
      <charset val="128"/>
    </font>
    <font>
      <sz val="11"/>
      <color indexed="81"/>
      <name val="ＭＳ 明朝"/>
      <family val="1"/>
      <charset val="128"/>
    </font>
  </fonts>
  <fills count="19">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indexed="42"/>
        <bgColor indexed="64"/>
      </patternFill>
    </fill>
    <fill>
      <patternFill patternType="solid">
        <fgColor theme="6" tint="0.79998168889431442"/>
        <bgColor indexed="64"/>
      </patternFill>
    </fill>
    <fill>
      <patternFill patternType="solid">
        <fgColor indexed="41"/>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indexed="44"/>
        <bgColor indexed="64"/>
      </patternFill>
    </fill>
    <fill>
      <patternFill patternType="solid">
        <fgColor rgb="FFCCFFFF"/>
        <bgColor indexed="64"/>
      </patternFill>
    </fill>
    <fill>
      <patternFill patternType="solid">
        <fgColor theme="3" tint="0.59999389629810485"/>
        <bgColor indexed="64"/>
      </patternFill>
    </fill>
    <fill>
      <patternFill patternType="solid">
        <fgColor rgb="FF99FF99"/>
        <bgColor indexed="64"/>
      </patternFill>
    </fill>
  </fills>
  <borders count="11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ck">
        <color indexed="64"/>
      </left>
      <right/>
      <top style="thick">
        <color indexed="64"/>
      </top>
      <bottom style="thick">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thick">
        <color indexed="64"/>
      </top>
      <bottom style="thick">
        <color indexed="64"/>
      </bottom>
      <diagonal/>
    </border>
    <border>
      <left style="thin">
        <color indexed="64"/>
      </left>
      <right style="medium">
        <color indexed="64"/>
      </right>
      <top style="medium">
        <color indexed="64"/>
      </top>
      <bottom style="medium">
        <color indexed="64"/>
      </bottom>
      <diagonal/>
    </border>
    <border>
      <left style="thin">
        <color indexed="64"/>
      </left>
      <right style="thick">
        <color indexed="64"/>
      </right>
      <top style="thick">
        <color indexed="64"/>
      </top>
      <bottom style="thick">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hair">
        <color indexed="64"/>
      </left>
      <right style="double">
        <color indexed="64"/>
      </right>
      <top style="medium">
        <color indexed="64"/>
      </top>
      <bottom style="thin">
        <color indexed="64"/>
      </bottom>
      <diagonal/>
    </border>
    <border>
      <left style="hair">
        <color indexed="64"/>
      </left>
      <right style="double">
        <color indexed="64"/>
      </right>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double">
        <color indexed="64"/>
      </left>
      <right style="hair">
        <color indexed="64"/>
      </right>
      <top style="medium">
        <color indexed="64"/>
      </top>
      <bottom style="thin">
        <color indexed="64"/>
      </bottom>
      <diagonal/>
    </border>
    <border>
      <left style="double">
        <color indexed="64"/>
      </left>
      <right style="hair">
        <color indexed="64"/>
      </right>
      <top style="thin">
        <color indexed="64"/>
      </top>
      <bottom style="thin">
        <color indexed="64"/>
      </bottom>
      <diagonal/>
    </border>
    <border>
      <left style="double">
        <color indexed="64"/>
      </left>
      <right style="hair">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top style="thick">
        <color indexed="64"/>
      </top>
      <bottom/>
      <diagonal/>
    </border>
    <border>
      <left style="thin">
        <color indexed="64"/>
      </left>
      <right/>
      <top/>
      <bottom style="thin">
        <color indexed="64"/>
      </bottom>
      <diagonal/>
    </border>
    <border>
      <left style="thin">
        <color indexed="64"/>
      </left>
      <right/>
      <top style="thin">
        <color indexed="64"/>
      </top>
      <bottom style="thick">
        <color indexed="64"/>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thick">
        <color indexed="64"/>
      </left>
      <right style="thin">
        <color indexed="64"/>
      </right>
      <top style="medium">
        <color indexed="64"/>
      </top>
      <bottom/>
      <diagonal/>
    </border>
    <border>
      <left style="thick">
        <color indexed="64"/>
      </left>
      <right/>
      <top style="thin">
        <color indexed="64"/>
      </top>
      <bottom style="thick">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ck">
        <color indexed="64"/>
      </top>
      <bottom style="thin">
        <color indexed="64"/>
      </bottom>
      <diagonal/>
    </border>
    <border>
      <left style="thin">
        <color indexed="64"/>
      </left>
      <right/>
      <top style="thin">
        <color indexed="64"/>
      </top>
      <bottom/>
      <diagonal/>
    </border>
    <border>
      <left/>
      <right style="thick">
        <color indexed="64"/>
      </right>
      <top style="thin">
        <color indexed="64"/>
      </top>
      <bottom style="thick">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style="medium">
        <color indexed="64"/>
      </top>
      <bottom style="thin">
        <color indexed="64"/>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thick">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top style="thick">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medium">
        <color indexed="64"/>
      </top>
      <bottom style="thin">
        <color indexed="64"/>
      </bottom>
      <diagonal/>
    </border>
    <border>
      <left/>
      <right style="thick">
        <color indexed="64"/>
      </right>
      <top style="thick">
        <color indexed="64"/>
      </top>
      <bottom style="thick">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ck">
        <color indexed="64"/>
      </bottom>
      <diagonal style="thin">
        <color indexed="64"/>
      </diagonal>
    </border>
    <border>
      <left style="thick">
        <color indexed="64"/>
      </left>
      <right style="thick">
        <color indexed="64"/>
      </right>
      <top style="thin">
        <color indexed="64"/>
      </top>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thin">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style="thin">
        <color indexed="64"/>
      </bottom>
      <diagonal/>
    </border>
    <border>
      <left style="thin">
        <color indexed="64"/>
      </left>
      <right style="thick">
        <color indexed="64"/>
      </right>
      <top style="hair">
        <color indexed="64"/>
      </top>
      <bottom style="thick">
        <color indexed="64"/>
      </bottom>
      <diagonal/>
    </border>
    <border>
      <left style="thin">
        <color indexed="64"/>
      </left>
      <right style="thin">
        <color indexed="64"/>
      </right>
      <top style="hair">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26">
    <xf numFmtId="0" fontId="0" fillId="0" borderId="0" xfId="0">
      <alignment vertical="center"/>
    </xf>
    <xf numFmtId="0" fontId="2" fillId="0" borderId="0" xfId="0" applyFont="1" applyProtection="1">
      <alignment vertical="center"/>
      <protection hidden="1"/>
    </xf>
    <xf numFmtId="0" fontId="2" fillId="0" borderId="0" xfId="0" applyFont="1" applyBorder="1" applyProtection="1">
      <alignment vertical="center"/>
      <protection hidden="1"/>
    </xf>
    <xf numFmtId="176" fontId="3" fillId="0" borderId="0" xfId="0" applyNumberFormat="1" applyFont="1" applyAlignment="1" applyProtection="1">
      <alignment horizontal="left" vertical="center" indent="2"/>
      <protection hidden="1"/>
    </xf>
    <xf numFmtId="0" fontId="0" fillId="0" borderId="0" xfId="0" applyAlignment="1" applyProtection="1">
      <alignment horizontal="left" vertical="center" indent="2"/>
      <protection hidden="1"/>
    </xf>
    <xf numFmtId="176" fontId="4" fillId="0" borderId="0" xfId="0" applyNumberFormat="1" applyFont="1" applyAlignment="1" applyProtection="1">
      <alignment horizontal="left" vertical="center" indent="2"/>
      <protection hidden="1"/>
    </xf>
    <xf numFmtId="176" fontId="5" fillId="0" borderId="0" xfId="0" applyNumberFormat="1" applyFont="1" applyAlignment="1" applyProtection="1">
      <alignment horizontal="left" vertical="center" indent="3"/>
      <protection hidden="1"/>
    </xf>
    <xf numFmtId="176" fontId="6" fillId="0" borderId="0" xfId="0" applyNumberFormat="1" applyFont="1" applyAlignment="1" applyProtection="1">
      <alignment horizontal="left" vertical="center" indent="2"/>
      <protection hidden="1"/>
    </xf>
    <xf numFmtId="176" fontId="5" fillId="0" borderId="0" xfId="0" applyNumberFormat="1" applyFont="1" applyAlignment="1" applyProtection="1">
      <alignment horizontal="left" vertical="top" indent="3"/>
      <protection hidden="1"/>
    </xf>
    <xf numFmtId="0" fontId="2" fillId="0" borderId="0" xfId="0" applyFont="1" applyFill="1" applyBorder="1" applyAlignment="1" applyProtection="1">
      <alignment horizontal="center" vertical="center"/>
      <protection hidden="1"/>
    </xf>
    <xf numFmtId="0" fontId="7" fillId="0" borderId="0" xfId="0" applyFont="1" applyFill="1" applyBorder="1" applyAlignment="1" applyProtection="1">
      <alignment vertical="center" wrapText="1"/>
      <protection hidden="1"/>
    </xf>
    <xf numFmtId="0" fontId="8" fillId="0" borderId="0" xfId="0" applyFont="1" applyFill="1" applyBorder="1" applyAlignment="1" applyProtection="1">
      <alignment vertical="center" wrapText="1"/>
    </xf>
    <xf numFmtId="0" fontId="0" fillId="0" borderId="0" xfId="0" applyAlignment="1">
      <alignment horizontal="left" vertical="center" indent="3"/>
    </xf>
    <xf numFmtId="0" fontId="2" fillId="0" borderId="0" xfId="0" applyFont="1" applyFill="1" applyBorder="1" applyAlignment="1" applyProtection="1">
      <alignment horizontal="center" vertical="center"/>
    </xf>
    <xf numFmtId="0" fontId="0" fillId="0" borderId="0" xfId="0" applyBorder="1" applyProtection="1">
      <alignment vertical="center"/>
    </xf>
    <xf numFmtId="0" fontId="0" fillId="0" borderId="0" xfId="0" applyFill="1" applyBorder="1" applyAlignment="1" applyProtection="1">
      <alignment vertical="center" wrapText="1"/>
    </xf>
    <xf numFmtId="177" fontId="9" fillId="6" borderId="0" xfId="0" applyNumberFormat="1" applyFont="1" applyFill="1" applyAlignment="1" applyProtection="1">
      <alignment vertical="top"/>
      <protection hidden="1"/>
    </xf>
    <xf numFmtId="0" fontId="10" fillId="6" borderId="0" xfId="0" applyFont="1" applyFill="1" applyProtection="1">
      <alignment vertical="center"/>
      <protection hidden="1"/>
    </xf>
    <xf numFmtId="0" fontId="11" fillId="2" borderId="7" xfId="0" applyFont="1" applyFill="1" applyBorder="1" applyAlignment="1" applyProtection="1">
      <alignment horizontal="center" vertical="center"/>
      <protection hidden="1"/>
    </xf>
    <xf numFmtId="0" fontId="2" fillId="2" borderId="8" xfId="0" quotePrefix="1" applyFont="1" applyFill="1" applyBorder="1" applyAlignment="1" applyProtection="1">
      <alignment horizontal="center" vertical="center"/>
    </xf>
    <xf numFmtId="0" fontId="2" fillId="2" borderId="8" xfId="0" quotePrefix="1" applyFont="1" applyFill="1" applyBorder="1" applyAlignment="1" applyProtection="1">
      <alignment horizontal="center" vertical="center"/>
      <protection hidden="1"/>
    </xf>
    <xf numFmtId="0" fontId="2" fillId="2" borderId="9" xfId="0" quotePrefix="1" applyFont="1" applyFill="1" applyBorder="1" applyAlignment="1" applyProtection="1">
      <alignment horizontal="center" vertical="center"/>
      <protection hidden="1"/>
    </xf>
    <xf numFmtId="0" fontId="12" fillId="0" borderId="0" xfId="0" applyFont="1" applyProtection="1">
      <alignment vertical="center"/>
      <protection hidden="1"/>
    </xf>
    <xf numFmtId="0" fontId="9" fillId="6" borderId="0" xfId="0" applyFont="1" applyFill="1" applyProtection="1">
      <alignment vertical="center"/>
      <protection hidden="1"/>
    </xf>
    <xf numFmtId="38" fontId="16" fillId="6" borderId="0" xfId="1" applyFont="1" applyFill="1" applyBorder="1" applyAlignment="1" applyProtection="1">
      <alignment horizontal="center" vertical="center"/>
      <protection hidden="1"/>
    </xf>
    <xf numFmtId="0" fontId="2" fillId="2" borderId="10" xfId="0" applyFont="1" applyFill="1" applyBorder="1" applyAlignment="1" applyProtection="1">
      <alignment horizontal="center" vertical="center"/>
      <protection hidden="1"/>
    </xf>
    <xf numFmtId="178" fontId="2" fillId="4" borderId="11" xfId="0" applyNumberFormat="1" applyFont="1" applyFill="1" applyBorder="1" applyAlignment="1" applyProtection="1">
      <alignment horizontal="center" vertical="center" shrinkToFit="1"/>
      <protection locked="0"/>
    </xf>
    <xf numFmtId="178" fontId="2" fillId="4" borderId="12" xfId="0" applyNumberFormat="1" applyFont="1" applyFill="1" applyBorder="1" applyAlignment="1" applyProtection="1">
      <alignment horizontal="center" vertical="center" shrinkToFit="1"/>
      <protection locked="0"/>
    </xf>
    <xf numFmtId="0" fontId="19" fillId="0" borderId="0" xfId="0" applyFont="1" applyAlignment="1" applyProtection="1">
      <alignment vertical="top"/>
      <protection hidden="1"/>
    </xf>
    <xf numFmtId="3" fontId="2" fillId="4" borderId="11" xfId="0" applyNumberFormat="1" applyFont="1" applyFill="1" applyBorder="1" applyAlignment="1" applyProtection="1">
      <alignment vertical="center" shrinkToFit="1"/>
      <protection locked="0"/>
    </xf>
    <xf numFmtId="3" fontId="2" fillId="4" borderId="12" xfId="0" applyNumberFormat="1" applyFont="1" applyFill="1" applyBorder="1" applyAlignment="1" applyProtection="1">
      <alignment vertical="center" shrinkToFit="1"/>
      <protection locked="0"/>
    </xf>
    <xf numFmtId="38" fontId="16" fillId="6" borderId="0" xfId="0" applyNumberFormat="1" applyFont="1" applyFill="1" applyBorder="1" applyAlignment="1" applyProtection="1">
      <alignment vertical="center"/>
      <protection hidden="1"/>
    </xf>
    <xf numFmtId="179" fontId="17" fillId="8" borderId="19" xfId="0" applyNumberFormat="1" applyFont="1" applyFill="1" applyBorder="1" applyProtection="1">
      <alignment vertical="center"/>
      <protection hidden="1"/>
    </xf>
    <xf numFmtId="38" fontId="17" fillId="8" borderId="19" xfId="0" applyNumberFormat="1" applyFont="1" applyFill="1" applyBorder="1" applyAlignment="1" applyProtection="1">
      <alignment horizontal="center" vertical="center"/>
      <protection hidden="1"/>
    </xf>
    <xf numFmtId="38" fontId="17" fillId="8" borderId="19" xfId="0" applyNumberFormat="1" applyFont="1" applyFill="1" applyBorder="1" applyProtection="1">
      <alignment vertical="center"/>
      <protection hidden="1"/>
    </xf>
    <xf numFmtId="38" fontId="17" fillId="8" borderId="4" xfId="0" applyNumberFormat="1" applyFont="1" applyFill="1" applyBorder="1" applyProtection="1">
      <alignment vertical="center"/>
      <protection hidden="1"/>
    </xf>
    <xf numFmtId="38" fontId="18" fillId="8" borderId="20" xfId="0" applyNumberFormat="1" applyFont="1" applyFill="1" applyBorder="1" applyProtection="1">
      <alignment vertical="center"/>
      <protection hidden="1"/>
    </xf>
    <xf numFmtId="180" fontId="16" fillId="6" borderId="0" xfId="0" applyNumberFormat="1" applyFont="1" applyFill="1" applyBorder="1" applyAlignment="1" applyProtection="1">
      <alignment horizontal="center" vertical="center"/>
      <protection hidden="1"/>
    </xf>
    <xf numFmtId="181" fontId="16" fillId="6" borderId="0" xfId="0" applyNumberFormat="1" applyFont="1" applyFill="1" applyBorder="1" applyAlignment="1" applyProtection="1">
      <alignment vertical="center"/>
      <protection hidden="1"/>
    </xf>
    <xf numFmtId="0" fontId="2" fillId="2" borderId="10" xfId="0" applyFont="1" applyFill="1" applyBorder="1" applyAlignment="1" applyProtection="1">
      <alignment horizontal="center" vertical="center" wrapText="1"/>
      <protection hidden="1"/>
    </xf>
    <xf numFmtId="0" fontId="21" fillId="0" borderId="0" xfId="0" applyFont="1" applyProtection="1">
      <alignment vertical="center"/>
      <protection hidden="1"/>
    </xf>
    <xf numFmtId="0" fontId="22" fillId="0" borderId="0" xfId="0" applyFont="1" applyAlignment="1" applyProtection="1">
      <alignment vertical="top"/>
      <protection hidden="1"/>
    </xf>
    <xf numFmtId="0" fontId="2" fillId="2" borderId="21" xfId="0" applyFont="1" applyFill="1" applyBorder="1" applyAlignment="1" applyProtection="1">
      <alignment horizontal="center" vertical="center" wrapText="1"/>
      <protection hidden="1"/>
    </xf>
    <xf numFmtId="3" fontId="2" fillId="9" borderId="22" xfId="0" applyNumberFormat="1" applyFont="1" applyFill="1" applyBorder="1" applyAlignment="1" applyProtection="1">
      <alignment horizontal="center" vertical="center" shrinkToFit="1"/>
      <protection locked="0"/>
    </xf>
    <xf numFmtId="3" fontId="2" fillId="9" borderId="23" xfId="0" applyNumberFormat="1" applyFont="1" applyFill="1" applyBorder="1" applyAlignment="1" applyProtection="1">
      <alignment horizontal="center" vertical="center" shrinkToFit="1"/>
      <protection locked="0"/>
    </xf>
    <xf numFmtId="0" fontId="2" fillId="0" borderId="0" xfId="0" applyFont="1" applyAlignment="1" applyProtection="1">
      <protection hidden="1"/>
    </xf>
    <xf numFmtId="182" fontId="2" fillId="10" borderId="24" xfId="0" applyNumberFormat="1" applyFont="1" applyFill="1" applyBorder="1" applyAlignment="1" applyProtection="1">
      <alignment vertical="center"/>
      <protection hidden="1"/>
    </xf>
    <xf numFmtId="182" fontId="2" fillId="10" borderId="25" xfId="0" applyNumberFormat="1" applyFont="1" applyFill="1" applyBorder="1" applyAlignment="1" applyProtection="1">
      <alignment vertical="center"/>
      <protection hidden="1"/>
    </xf>
    <xf numFmtId="182" fontId="2" fillId="10" borderId="26" xfId="0" applyNumberFormat="1" applyFont="1" applyFill="1" applyBorder="1" applyAlignment="1" applyProtection="1">
      <alignment vertical="center"/>
      <protection hidden="1"/>
    </xf>
    <xf numFmtId="182" fontId="2" fillId="10" borderId="27" xfId="0" applyNumberFormat="1" applyFont="1" applyFill="1" applyBorder="1" applyAlignment="1" applyProtection="1">
      <alignment vertical="center"/>
      <protection hidden="1"/>
    </xf>
    <xf numFmtId="0" fontId="2" fillId="11" borderId="28" xfId="0" applyFont="1" applyFill="1" applyBorder="1" applyAlignment="1" applyProtection="1">
      <alignment horizontal="center" vertical="center" wrapText="1"/>
      <protection hidden="1"/>
    </xf>
    <xf numFmtId="183" fontId="2" fillId="12" borderId="29" xfId="0" applyNumberFormat="1" applyFont="1" applyFill="1" applyBorder="1" applyAlignment="1" applyProtection="1">
      <alignment horizontal="center" vertical="center" shrinkToFit="1"/>
      <protection locked="0"/>
    </xf>
    <xf numFmtId="183" fontId="2" fillId="12" borderId="30" xfId="0" applyNumberFormat="1" applyFont="1" applyFill="1" applyBorder="1" applyAlignment="1" applyProtection="1">
      <alignment horizontal="center" vertical="center" shrinkToFit="1"/>
      <protection locked="0"/>
    </xf>
    <xf numFmtId="184" fontId="2" fillId="10" borderId="31" xfId="1" applyNumberFormat="1" applyFont="1" applyFill="1" applyBorder="1" applyProtection="1">
      <alignment vertical="center"/>
      <protection hidden="1"/>
    </xf>
    <xf numFmtId="184" fontId="2" fillId="10" borderId="32" xfId="1" applyNumberFormat="1" applyFont="1" applyFill="1" applyBorder="1" applyProtection="1">
      <alignment vertical="center"/>
      <protection hidden="1"/>
    </xf>
    <xf numFmtId="184" fontId="2" fillId="10" borderId="33" xfId="1" applyNumberFormat="1" applyFont="1" applyFill="1" applyBorder="1" applyProtection="1">
      <alignment vertical="center"/>
      <protection hidden="1"/>
    </xf>
    <xf numFmtId="184" fontId="2" fillId="10" borderId="34" xfId="1" applyNumberFormat="1" applyFont="1" applyFill="1" applyBorder="1" applyProtection="1">
      <alignment vertical="center"/>
      <protection hidden="1"/>
    </xf>
    <xf numFmtId="0" fontId="2" fillId="11" borderId="35" xfId="0" applyFont="1" applyFill="1" applyBorder="1" applyAlignment="1" applyProtection="1">
      <alignment horizontal="center" vertical="center" wrapText="1"/>
      <protection hidden="1"/>
    </xf>
    <xf numFmtId="185" fontId="2" fillId="12" borderId="36" xfId="0" applyNumberFormat="1" applyFont="1" applyFill="1" applyBorder="1" applyAlignment="1" applyProtection="1">
      <alignment horizontal="center" vertical="center" shrinkToFit="1"/>
      <protection locked="0"/>
    </xf>
    <xf numFmtId="185" fontId="2" fillId="12" borderId="37" xfId="0" applyNumberFormat="1" applyFont="1" applyFill="1" applyBorder="1" applyAlignment="1" applyProtection="1">
      <alignment horizontal="center" vertical="center" shrinkToFit="1"/>
      <protection locked="0"/>
    </xf>
    <xf numFmtId="182" fontId="2" fillId="10" borderId="38" xfId="0" applyNumberFormat="1" applyFont="1" applyFill="1" applyBorder="1" applyAlignment="1" applyProtection="1">
      <alignment vertical="center"/>
      <protection hidden="1"/>
    </xf>
    <xf numFmtId="182" fontId="2" fillId="10" borderId="39" xfId="0" applyNumberFormat="1" applyFont="1" applyFill="1" applyBorder="1" applyAlignment="1" applyProtection="1">
      <alignment vertical="center"/>
      <protection hidden="1"/>
    </xf>
    <xf numFmtId="182" fontId="2" fillId="10" borderId="40" xfId="0" applyNumberFormat="1" applyFont="1" applyFill="1" applyBorder="1" applyAlignment="1" applyProtection="1">
      <alignment vertical="center"/>
      <protection hidden="1"/>
    </xf>
    <xf numFmtId="0" fontId="2" fillId="2" borderId="42" xfId="0" applyFont="1" applyFill="1" applyBorder="1" applyAlignment="1" applyProtection="1">
      <alignment horizontal="center" vertical="center"/>
      <protection hidden="1"/>
    </xf>
    <xf numFmtId="0" fontId="2" fillId="2" borderId="43" xfId="0" applyFont="1" applyFill="1" applyBorder="1" applyAlignment="1" applyProtection="1">
      <alignment horizontal="center" vertical="center"/>
      <protection hidden="1"/>
    </xf>
    <xf numFmtId="0" fontId="2" fillId="2" borderId="44" xfId="0" applyFont="1" applyFill="1" applyBorder="1" applyAlignment="1" applyProtection="1">
      <alignment horizontal="center" vertical="center"/>
      <protection hidden="1"/>
    </xf>
    <xf numFmtId="184" fontId="2" fillId="10" borderId="45" xfId="1" applyNumberFormat="1" applyFont="1" applyFill="1" applyBorder="1" applyProtection="1">
      <alignment vertical="center"/>
      <protection hidden="1"/>
    </xf>
    <xf numFmtId="184" fontId="2" fillId="10" borderId="46" xfId="1" applyNumberFormat="1" applyFont="1" applyFill="1" applyBorder="1" applyProtection="1">
      <alignment vertical="center"/>
      <protection hidden="1"/>
    </xf>
    <xf numFmtId="184" fontId="2" fillId="10" borderId="47" xfId="1" applyNumberFormat="1" applyFont="1" applyFill="1" applyBorder="1" applyProtection="1">
      <alignment vertical="center"/>
      <protection hidden="1"/>
    </xf>
    <xf numFmtId="0" fontId="22" fillId="3" borderId="10" xfId="0" applyNumberFormat="1"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vertical="center"/>
    </xf>
    <xf numFmtId="0" fontId="2" fillId="3" borderId="12" xfId="0" applyFont="1" applyFill="1" applyBorder="1" applyAlignment="1" applyProtection="1">
      <alignment horizontal="center" vertical="center"/>
    </xf>
    <xf numFmtId="0" fontId="23" fillId="2" borderId="10" xfId="0" applyFont="1" applyFill="1" applyBorder="1" applyAlignment="1" applyProtection="1">
      <alignment vertical="center" wrapText="1"/>
      <protection hidden="1"/>
    </xf>
    <xf numFmtId="187" fontId="2" fillId="2" borderId="11" xfId="0" applyNumberFormat="1" applyFont="1" applyFill="1" applyBorder="1" applyAlignment="1" applyProtection="1">
      <alignment horizontal="right" vertical="center"/>
      <protection hidden="1"/>
    </xf>
    <xf numFmtId="187" fontId="2" fillId="2" borderId="12" xfId="0" applyNumberFormat="1" applyFont="1" applyFill="1" applyBorder="1" applyAlignment="1" applyProtection="1">
      <alignment horizontal="right" vertical="center"/>
      <protection hidden="1"/>
    </xf>
    <xf numFmtId="0" fontId="23" fillId="2" borderId="48" xfId="0" applyFont="1" applyFill="1" applyBorder="1" applyAlignment="1" applyProtection="1">
      <alignment vertical="center" wrapText="1"/>
      <protection hidden="1"/>
    </xf>
    <xf numFmtId="187" fontId="2" fillId="2" borderId="49" xfId="0" applyNumberFormat="1" applyFont="1" applyFill="1" applyBorder="1" applyAlignment="1" applyProtection="1">
      <alignment horizontal="right" vertical="center"/>
      <protection hidden="1"/>
    </xf>
    <xf numFmtId="187" fontId="2" fillId="2" borderId="50" xfId="0" applyNumberFormat="1" applyFont="1" applyFill="1" applyBorder="1" applyAlignment="1" applyProtection="1">
      <alignment horizontal="right" vertical="center"/>
      <protection hidden="1"/>
    </xf>
    <xf numFmtId="0" fontId="24" fillId="0" borderId="0" xfId="0" applyFont="1" applyProtection="1">
      <alignment vertical="center"/>
      <protection hidden="1"/>
    </xf>
    <xf numFmtId="0" fontId="2" fillId="3" borderId="7" xfId="0" applyFont="1" applyFill="1" applyBorder="1" applyAlignment="1" applyProtection="1">
      <alignment horizontal="center" vertical="center" wrapText="1"/>
      <protection hidden="1"/>
    </xf>
    <xf numFmtId="14" fontId="23" fillId="3" borderId="8" xfId="0" applyNumberFormat="1" applyFont="1" applyFill="1" applyBorder="1" applyAlignment="1" applyProtection="1">
      <alignment horizontal="center" vertical="top" wrapText="1"/>
      <protection hidden="1"/>
    </xf>
    <xf numFmtId="0" fontId="23" fillId="3" borderId="8" xfId="0" applyFont="1" applyFill="1" applyBorder="1" applyAlignment="1" applyProtection="1">
      <alignment horizontal="center" vertical="top" wrapText="1"/>
      <protection hidden="1"/>
    </xf>
    <xf numFmtId="0" fontId="23" fillId="3" borderId="9" xfId="0" applyFont="1" applyFill="1" applyBorder="1" applyAlignment="1" applyProtection="1">
      <alignment horizontal="center" vertical="top" wrapText="1"/>
      <protection hidden="1"/>
    </xf>
    <xf numFmtId="0" fontId="2" fillId="3" borderId="10" xfId="0" applyFont="1" applyFill="1" applyBorder="1" applyAlignment="1" applyProtection="1">
      <alignment horizontal="center" vertical="center" wrapText="1"/>
      <protection hidden="1"/>
    </xf>
    <xf numFmtId="14" fontId="23" fillId="3" borderId="11" xfId="0" applyNumberFormat="1" applyFont="1" applyFill="1" applyBorder="1" applyAlignment="1" applyProtection="1">
      <alignment horizontal="center" vertical="top" wrapText="1"/>
      <protection hidden="1"/>
    </xf>
    <xf numFmtId="0" fontId="23" fillId="3" borderId="11" xfId="0" applyFont="1" applyFill="1" applyBorder="1" applyAlignment="1" applyProtection="1">
      <alignment horizontal="center" vertical="top" wrapText="1"/>
      <protection hidden="1"/>
    </xf>
    <xf numFmtId="0" fontId="23" fillId="3" borderId="12" xfId="0" applyFont="1" applyFill="1" applyBorder="1" applyAlignment="1" applyProtection="1">
      <alignment horizontal="center" vertical="top" wrapText="1"/>
      <protection hidden="1"/>
    </xf>
    <xf numFmtId="0" fontId="25" fillId="0" borderId="0" xfId="0" applyFont="1" applyAlignment="1" applyProtection="1">
      <protection hidden="1"/>
    </xf>
    <xf numFmtId="0" fontId="2" fillId="0" borderId="0" xfId="0" applyFont="1" applyAlignment="1" applyProtection="1">
      <alignment vertical="center" wrapText="1"/>
      <protection hidden="1"/>
    </xf>
    <xf numFmtId="56" fontId="2" fillId="0" borderId="0" xfId="0" quotePrefix="1" applyNumberFormat="1" applyFont="1" applyProtection="1">
      <alignment vertical="center"/>
      <protection hidden="1"/>
    </xf>
    <xf numFmtId="0" fontId="2" fillId="3" borderId="48" xfId="0" applyFont="1" applyFill="1" applyBorder="1" applyAlignment="1" applyProtection="1">
      <alignment horizontal="center" vertical="center" wrapText="1"/>
      <protection hidden="1"/>
    </xf>
    <xf numFmtId="14" fontId="23" fillId="3" borderId="49" xfId="0" applyNumberFormat="1" applyFont="1" applyFill="1" applyBorder="1" applyAlignment="1" applyProtection="1">
      <alignment horizontal="center" vertical="top" wrapText="1"/>
      <protection hidden="1"/>
    </xf>
    <xf numFmtId="0" fontId="23" fillId="3" borderId="49" xfId="0" applyFont="1" applyFill="1" applyBorder="1" applyAlignment="1" applyProtection="1">
      <alignment horizontal="center" vertical="top" wrapText="1"/>
      <protection hidden="1"/>
    </xf>
    <xf numFmtId="0" fontId="23" fillId="3" borderId="50" xfId="0" applyFont="1" applyFill="1" applyBorder="1" applyAlignment="1" applyProtection="1">
      <alignment horizontal="center" vertical="top" wrapText="1"/>
      <protection hidden="1"/>
    </xf>
    <xf numFmtId="0" fontId="22" fillId="13" borderId="51" xfId="0" applyFont="1" applyFill="1" applyBorder="1" applyAlignment="1" applyProtection="1">
      <alignment horizontal="center" vertical="center" wrapText="1"/>
      <protection hidden="1"/>
    </xf>
    <xf numFmtId="0" fontId="22" fillId="13" borderId="52" xfId="0" applyFont="1" applyFill="1" applyBorder="1" applyAlignment="1" applyProtection="1">
      <alignment horizontal="center" vertical="center"/>
      <protection hidden="1"/>
    </xf>
    <xf numFmtId="0" fontId="22" fillId="13" borderId="53" xfId="0" applyFont="1" applyFill="1" applyBorder="1" applyAlignment="1" applyProtection="1">
      <alignment horizontal="center" vertical="center"/>
      <protection hidden="1"/>
    </xf>
    <xf numFmtId="0" fontId="26" fillId="0" borderId="0" xfId="0" applyFont="1" applyBorder="1" applyAlignment="1" applyProtection="1">
      <alignment vertical="center"/>
      <protection hidden="1"/>
    </xf>
    <xf numFmtId="0" fontId="27" fillId="0" borderId="0" xfId="0" applyFont="1" applyAlignment="1">
      <alignment vertical="center"/>
    </xf>
    <xf numFmtId="0" fontId="27" fillId="0" borderId="0" xfId="0" applyFont="1" applyBorder="1" applyAlignment="1">
      <alignment vertical="center" shrinkToFit="1"/>
    </xf>
    <xf numFmtId="0" fontId="27" fillId="0" borderId="0" xfId="0" applyFont="1" applyAlignment="1">
      <alignment vertical="center" shrinkToFit="1"/>
    </xf>
    <xf numFmtId="0" fontId="2" fillId="0" borderId="11" xfId="0" applyFont="1" applyBorder="1" applyAlignment="1" applyProtection="1">
      <alignment vertical="center" shrinkToFit="1"/>
      <protection hidden="1"/>
    </xf>
    <xf numFmtId="3" fontId="2" fillId="0" borderId="11" xfId="0" applyNumberFormat="1" applyFont="1" applyBorder="1" applyAlignment="1" applyProtection="1">
      <alignment vertical="center" shrinkToFit="1"/>
      <protection hidden="1"/>
    </xf>
    <xf numFmtId="3" fontId="2" fillId="0" borderId="0" xfId="0" applyNumberFormat="1" applyFont="1" applyBorder="1" applyAlignment="1" applyProtection="1">
      <alignment vertical="center" shrinkToFit="1"/>
      <protection hidden="1"/>
    </xf>
    <xf numFmtId="0" fontId="2" fillId="0" borderId="29" xfId="0" applyFont="1" applyBorder="1" applyAlignment="1" applyProtection="1">
      <alignment horizontal="center" vertical="center" shrinkToFit="1"/>
      <protection hidden="1"/>
    </xf>
    <xf numFmtId="0" fontId="2" fillId="0" borderId="0" xfId="0" applyFont="1" applyAlignment="1" applyProtection="1">
      <alignment vertical="center" shrinkToFit="1"/>
      <protection hidden="1"/>
    </xf>
    <xf numFmtId="38" fontId="2" fillId="0" borderId="11" xfId="1" applyFont="1" applyBorder="1" applyAlignment="1" applyProtection="1">
      <alignment vertical="center" shrinkToFit="1"/>
      <protection hidden="1"/>
    </xf>
    <xf numFmtId="0" fontId="2" fillId="0" borderId="11" xfId="0" applyFont="1" applyBorder="1" applyAlignment="1" applyProtection="1">
      <alignment horizontal="center" vertical="center" shrinkToFit="1"/>
      <protection hidden="1"/>
    </xf>
    <xf numFmtId="0" fontId="2" fillId="0" borderId="0" xfId="0" applyFont="1" applyBorder="1" applyAlignment="1" applyProtection="1">
      <alignment vertical="center" shrinkToFit="1"/>
      <protection hidden="1"/>
    </xf>
    <xf numFmtId="0" fontId="2" fillId="0" borderId="11" xfId="0" applyFont="1" applyBorder="1" applyAlignment="1" applyProtection="1">
      <alignment horizontal="center" vertical="center"/>
      <protection hidden="1"/>
    </xf>
    <xf numFmtId="0" fontId="2" fillId="0" borderId="11" xfId="0" quotePrefix="1" applyFont="1" applyBorder="1" applyAlignment="1" applyProtection="1">
      <alignment vertical="center" shrinkToFit="1"/>
      <protection hidden="1"/>
    </xf>
    <xf numFmtId="0" fontId="7" fillId="0" borderId="11" xfId="0" applyFont="1" applyBorder="1" applyAlignment="1" applyProtection="1">
      <alignment vertical="center" wrapText="1" shrinkToFit="1"/>
      <protection hidden="1"/>
    </xf>
    <xf numFmtId="38" fontId="2" fillId="0" borderId="0" xfId="1" applyFont="1" applyBorder="1" applyAlignment="1">
      <alignment vertical="center" shrinkToFit="1"/>
    </xf>
    <xf numFmtId="0" fontId="22" fillId="14" borderId="11" xfId="0" applyFont="1" applyFill="1" applyBorder="1" applyAlignment="1" applyProtection="1">
      <alignment vertical="center" wrapText="1" shrinkToFit="1"/>
      <protection hidden="1"/>
    </xf>
    <xf numFmtId="0" fontId="2" fillId="14" borderId="36" xfId="0" applyFont="1" applyFill="1" applyBorder="1" applyAlignment="1" applyProtection="1">
      <alignment horizontal="center" vertical="center" shrinkToFit="1"/>
      <protection hidden="1"/>
    </xf>
    <xf numFmtId="0" fontId="2" fillId="0" borderId="29" xfId="0" applyFont="1" applyBorder="1" applyAlignment="1" applyProtection="1">
      <alignment horizontal="center" vertical="center"/>
      <protection hidden="1"/>
    </xf>
    <xf numFmtId="0" fontId="28" fillId="0" borderId="0" xfId="0" applyFont="1" applyAlignment="1">
      <alignment vertical="top" wrapText="1"/>
    </xf>
    <xf numFmtId="0" fontId="29" fillId="0" borderId="0" xfId="0" applyFont="1" applyAlignment="1">
      <alignment vertical="top" wrapText="1"/>
    </xf>
    <xf numFmtId="0" fontId="2" fillId="14" borderId="36" xfId="0" applyFont="1" applyFill="1" applyBorder="1" applyAlignment="1" applyProtection="1">
      <alignment horizontal="center" vertical="center"/>
      <protection hidden="1"/>
    </xf>
    <xf numFmtId="0" fontId="30" fillId="0" borderId="0" xfId="0" applyFont="1" applyProtection="1">
      <alignment vertical="center"/>
      <protection hidden="1"/>
    </xf>
    <xf numFmtId="0" fontId="2" fillId="7" borderId="11" xfId="0" applyFont="1" applyFill="1" applyBorder="1" applyAlignment="1" applyProtection="1">
      <alignment vertical="center" shrinkToFit="1"/>
      <protection hidden="1"/>
    </xf>
    <xf numFmtId="0" fontId="2" fillId="0" borderId="0" xfId="0" applyFont="1" applyAlignment="1" applyProtection="1">
      <alignment vertical="center"/>
      <protection hidden="1"/>
    </xf>
    <xf numFmtId="0" fontId="2" fillId="7" borderId="11" xfId="0" applyFont="1" applyFill="1" applyBorder="1" applyProtection="1">
      <alignment vertical="center"/>
      <protection hidden="1"/>
    </xf>
    <xf numFmtId="0" fontId="2" fillId="7" borderId="56" xfId="0" applyFont="1" applyFill="1" applyBorder="1" applyAlignment="1" applyProtection="1">
      <alignment vertical="center"/>
      <protection hidden="1"/>
    </xf>
    <xf numFmtId="0" fontId="2" fillId="7" borderId="57" xfId="0" applyFont="1" applyFill="1" applyBorder="1" applyAlignment="1" applyProtection="1">
      <alignment vertical="center" shrinkToFit="1"/>
      <protection hidden="1"/>
    </xf>
    <xf numFmtId="0" fontId="0" fillId="0" borderId="0" xfId="0" applyAlignment="1">
      <alignment vertical="center"/>
    </xf>
    <xf numFmtId="0" fontId="34" fillId="0" borderId="0" xfId="0" applyFont="1" applyAlignment="1">
      <alignment horizontal="center" vertical="center"/>
    </xf>
    <xf numFmtId="3" fontId="2" fillId="7" borderId="11" xfId="0" applyNumberFormat="1" applyFont="1" applyFill="1" applyBorder="1" applyProtection="1">
      <alignment vertical="center"/>
      <protection hidden="1"/>
    </xf>
    <xf numFmtId="38" fontId="2" fillId="7" borderId="11" xfId="0" applyNumberFormat="1" applyFont="1" applyFill="1" applyBorder="1" applyAlignment="1" applyProtection="1">
      <alignment horizontal="right" vertical="center"/>
      <protection hidden="1"/>
    </xf>
    <xf numFmtId="3" fontId="2" fillId="7" borderId="11" xfId="0" applyNumberFormat="1" applyFont="1" applyFill="1" applyBorder="1" applyAlignment="1" applyProtection="1">
      <alignment horizontal="right" vertical="center"/>
      <protection hidden="1"/>
    </xf>
    <xf numFmtId="0" fontId="2" fillId="7" borderId="11" xfId="0" applyFont="1" applyFill="1" applyBorder="1" applyAlignment="1" applyProtection="1">
      <alignment vertical="center"/>
      <protection hidden="1"/>
    </xf>
    <xf numFmtId="9" fontId="2" fillId="7" borderId="56" xfId="0" applyNumberFormat="1" applyFont="1" applyFill="1" applyBorder="1" applyAlignment="1" applyProtection="1">
      <alignment horizontal="right" vertical="center"/>
      <protection hidden="1"/>
    </xf>
    <xf numFmtId="9" fontId="2" fillId="7" borderId="20" xfId="0" applyNumberFormat="1" applyFont="1" applyFill="1" applyBorder="1" applyAlignment="1" applyProtection="1">
      <alignment horizontal="right" vertical="center"/>
      <protection locked="0" hidden="1"/>
    </xf>
    <xf numFmtId="3" fontId="2" fillId="0" borderId="0" xfId="0" applyNumberFormat="1" applyFont="1" applyAlignment="1" applyProtection="1">
      <alignment vertical="center" shrinkToFit="1"/>
      <protection hidden="1"/>
    </xf>
    <xf numFmtId="3" fontId="2" fillId="0" borderId="0" xfId="0" applyNumberFormat="1" applyFont="1" applyBorder="1" applyAlignment="1" applyProtection="1">
      <alignment horizontal="right" vertical="center"/>
      <protection hidden="1"/>
    </xf>
    <xf numFmtId="0" fontId="2" fillId="0" borderId="0" xfId="0" applyFont="1" applyAlignment="1" applyProtection="1">
      <alignment horizontal="left" vertical="center" indent="1"/>
      <protection hidden="1"/>
    </xf>
    <xf numFmtId="0" fontId="2" fillId="15" borderId="75" xfId="0" applyFont="1" applyFill="1" applyBorder="1" applyAlignment="1" applyProtection="1">
      <alignment horizontal="center" vertical="center" shrinkToFit="1"/>
      <protection hidden="1"/>
    </xf>
    <xf numFmtId="0" fontId="2" fillId="15" borderId="22" xfId="0" applyFont="1" applyFill="1" applyBorder="1" applyAlignment="1" applyProtection="1">
      <alignment horizontal="center" vertical="center" shrinkToFit="1"/>
      <protection hidden="1"/>
    </xf>
    <xf numFmtId="0" fontId="35" fillId="15" borderId="76" xfId="0" applyFont="1" applyFill="1" applyBorder="1" applyAlignment="1" applyProtection="1">
      <alignment horizontal="center" vertical="center" shrinkToFit="1"/>
      <protection hidden="1"/>
    </xf>
    <xf numFmtId="0" fontId="2" fillId="15" borderId="21" xfId="0" applyFont="1" applyFill="1" applyBorder="1" applyAlignment="1" applyProtection="1">
      <alignment horizontal="center" vertical="center" shrinkToFit="1"/>
      <protection hidden="1"/>
    </xf>
    <xf numFmtId="0" fontId="35" fillId="15" borderId="23" xfId="0" applyFont="1" applyFill="1" applyBorder="1" applyAlignment="1" applyProtection="1">
      <alignment horizontal="center" vertical="center" shrinkToFit="1"/>
      <protection hidden="1"/>
    </xf>
    <xf numFmtId="3" fontId="2" fillId="0" borderId="0" xfId="0" applyNumberFormat="1" applyFont="1" applyAlignment="1" applyProtection="1">
      <alignment horizontal="center" vertical="center" shrinkToFit="1"/>
      <protection hidden="1"/>
    </xf>
    <xf numFmtId="0" fontId="2" fillId="15" borderId="43" xfId="0" applyFont="1" applyFill="1" applyBorder="1" applyAlignment="1" applyProtection="1">
      <alignment horizontal="center" vertical="center"/>
      <protection hidden="1"/>
    </xf>
    <xf numFmtId="0" fontId="2" fillId="15" borderId="11" xfId="0" applyFont="1" applyFill="1" applyBorder="1" applyAlignment="1" applyProtection="1">
      <alignment horizontal="center" vertical="center"/>
      <protection hidden="1"/>
    </xf>
    <xf numFmtId="0" fontId="37" fillId="0" borderId="0" xfId="0" applyFont="1" applyProtection="1">
      <alignment vertical="center"/>
      <protection hidden="1"/>
    </xf>
    <xf numFmtId="0" fontId="38" fillId="0" borderId="0" xfId="0" applyFont="1" applyProtection="1">
      <alignment vertical="center"/>
      <protection hidden="1"/>
    </xf>
    <xf numFmtId="0" fontId="2" fillId="0" borderId="0" xfId="0" applyFont="1" applyAlignment="1" applyProtection="1">
      <alignment horizontal="right" vertical="center" shrinkToFit="1"/>
      <protection hidden="1"/>
    </xf>
    <xf numFmtId="0" fontId="2" fillId="15" borderId="36" xfId="0" applyFont="1" applyFill="1" applyBorder="1" applyAlignment="1" applyProtection="1">
      <alignment horizontal="center" vertical="center"/>
      <protection hidden="1"/>
    </xf>
    <xf numFmtId="191" fontId="2" fillId="0" borderId="0" xfId="0" applyNumberFormat="1" applyFont="1" applyAlignment="1" applyProtection="1">
      <alignment vertical="center" shrinkToFit="1"/>
      <protection hidden="1"/>
    </xf>
    <xf numFmtId="0" fontId="2" fillId="10" borderId="52" xfId="0" applyFont="1" applyFill="1" applyBorder="1" applyAlignment="1" applyProtection="1">
      <alignment horizontal="center" vertical="center"/>
      <protection hidden="1"/>
    </xf>
    <xf numFmtId="0" fontId="2" fillId="10" borderId="52" xfId="0" quotePrefix="1" applyFont="1" applyFill="1" applyBorder="1" applyAlignment="1" applyProtection="1">
      <alignment horizontal="center" vertical="center"/>
      <protection hidden="1"/>
    </xf>
    <xf numFmtId="0" fontId="2" fillId="10" borderId="53" xfId="0" quotePrefix="1" applyFont="1" applyFill="1" applyBorder="1" applyAlignment="1" applyProtection="1">
      <alignment horizontal="center" vertical="center"/>
      <protection hidden="1"/>
    </xf>
    <xf numFmtId="0" fontId="2" fillId="10" borderId="53" xfId="0" applyFont="1" applyFill="1" applyBorder="1" applyAlignment="1" applyProtection="1">
      <alignment horizontal="center" vertical="center"/>
      <protection hidden="1"/>
    </xf>
    <xf numFmtId="0" fontId="2" fillId="10" borderId="102" xfId="0" applyFont="1" applyFill="1" applyBorder="1" applyAlignment="1" applyProtection="1">
      <alignment horizontal="center" vertical="center"/>
      <protection hidden="1"/>
    </xf>
    <xf numFmtId="0" fontId="2" fillId="15" borderId="29" xfId="0" applyFont="1" applyFill="1" applyBorder="1" applyAlignment="1" applyProtection="1">
      <alignment horizontal="center" vertical="center"/>
      <protection hidden="1"/>
    </xf>
    <xf numFmtId="0" fontId="2" fillId="10" borderId="52" xfId="0" applyFont="1" applyFill="1" applyBorder="1" applyAlignment="1" applyProtection="1">
      <alignment horizontal="center" vertical="center" shrinkToFit="1"/>
      <protection hidden="1"/>
    </xf>
    <xf numFmtId="0" fontId="2" fillId="10" borderId="52" xfId="0" quotePrefix="1" applyFont="1" applyFill="1" applyBorder="1" applyAlignment="1" applyProtection="1">
      <alignment horizontal="center" vertical="center" shrinkToFit="1"/>
      <protection hidden="1"/>
    </xf>
    <xf numFmtId="0" fontId="2" fillId="10" borderId="53" xfId="0" quotePrefix="1" applyFont="1" applyFill="1" applyBorder="1" applyAlignment="1" applyProtection="1">
      <alignment horizontal="center" vertical="center" shrinkToFit="1"/>
      <protection hidden="1"/>
    </xf>
    <xf numFmtId="0" fontId="2" fillId="0" borderId="0" xfId="0" applyFont="1" applyAlignment="1" applyProtection="1">
      <alignment horizontal="right" vertical="center"/>
      <protection hidden="1"/>
    </xf>
    <xf numFmtId="0" fontId="2" fillId="10" borderId="53" xfId="0" applyFont="1" applyFill="1" applyBorder="1" applyAlignment="1" applyProtection="1">
      <alignment horizontal="center" vertical="center" shrinkToFit="1"/>
      <protection hidden="1"/>
    </xf>
    <xf numFmtId="0" fontId="39" fillId="0" borderId="0" xfId="0" applyFont="1" applyAlignment="1" applyProtection="1">
      <alignment horizontal="right" vertical="center"/>
      <protection hidden="1"/>
    </xf>
    <xf numFmtId="0" fontId="2" fillId="10" borderId="102" xfId="0" applyFont="1" applyFill="1" applyBorder="1" applyAlignment="1" applyProtection="1">
      <alignment horizontal="center" vertical="center" shrinkToFit="1"/>
      <protection hidden="1"/>
    </xf>
    <xf numFmtId="0" fontId="2" fillId="10" borderId="29" xfId="0" applyFont="1" applyFill="1" applyBorder="1" applyAlignment="1" applyProtection="1">
      <alignment horizontal="center" vertical="center"/>
      <protection hidden="1"/>
    </xf>
    <xf numFmtId="3" fontId="2" fillId="10" borderId="29" xfId="0" applyNumberFormat="1" applyFont="1" applyFill="1" applyBorder="1" applyAlignment="1" applyProtection="1">
      <alignment vertical="center" shrinkToFit="1"/>
      <protection hidden="1"/>
    </xf>
    <xf numFmtId="3" fontId="2" fillId="10" borderId="30" xfId="0" applyNumberFormat="1" applyFont="1" applyFill="1" applyBorder="1" applyAlignment="1" applyProtection="1">
      <alignment vertical="center" shrinkToFit="1"/>
      <protection hidden="1"/>
    </xf>
    <xf numFmtId="3" fontId="2" fillId="0" borderId="0" xfId="0" applyNumberFormat="1" applyFont="1" applyProtection="1">
      <alignment vertical="center"/>
      <protection hidden="1"/>
    </xf>
    <xf numFmtId="0" fontId="2" fillId="10" borderId="29" xfId="0" applyFont="1" applyFill="1" applyBorder="1" applyAlignment="1" applyProtection="1">
      <alignment horizontal="center" vertical="center" shrinkToFit="1"/>
      <protection hidden="1"/>
    </xf>
    <xf numFmtId="38" fontId="2" fillId="10" borderId="29" xfId="1" applyFont="1" applyFill="1" applyBorder="1" applyAlignment="1" applyProtection="1">
      <alignment vertical="center" shrinkToFit="1"/>
      <protection hidden="1"/>
    </xf>
    <xf numFmtId="38" fontId="2" fillId="10" borderId="57" xfId="1" applyFont="1" applyFill="1" applyBorder="1" applyAlignment="1" applyProtection="1">
      <alignment vertical="center" shrinkToFit="1"/>
      <protection hidden="1"/>
    </xf>
    <xf numFmtId="0" fontId="39" fillId="0" borderId="0" xfId="0" applyFont="1" applyAlignment="1" applyProtection="1">
      <alignment horizontal="center" vertical="center"/>
      <protection hidden="1"/>
    </xf>
    <xf numFmtId="0" fontId="2" fillId="10" borderId="11" xfId="0" applyFont="1" applyFill="1" applyBorder="1" applyAlignment="1" applyProtection="1">
      <alignment horizontal="center" vertical="center"/>
      <protection hidden="1"/>
    </xf>
    <xf numFmtId="3" fontId="2" fillId="10" borderId="11" xfId="0" applyNumberFormat="1" applyFont="1" applyFill="1" applyBorder="1" applyAlignment="1" applyProtection="1">
      <alignment vertical="center" shrinkToFit="1"/>
      <protection hidden="1"/>
    </xf>
    <xf numFmtId="3" fontId="2" fillId="10" borderId="55" xfId="0" applyNumberFormat="1" applyFont="1" applyFill="1" applyBorder="1" applyAlignment="1" applyProtection="1">
      <alignment vertical="center" shrinkToFit="1"/>
      <protection hidden="1"/>
    </xf>
    <xf numFmtId="0" fontId="2" fillId="10" borderId="11" xfId="0" applyFont="1" applyFill="1" applyBorder="1" applyAlignment="1" applyProtection="1">
      <alignment horizontal="center" vertical="center" shrinkToFit="1"/>
      <protection hidden="1"/>
    </xf>
    <xf numFmtId="38" fontId="2" fillId="10" borderId="11" xfId="1" applyFont="1" applyFill="1" applyBorder="1" applyAlignment="1" applyProtection="1">
      <alignment vertical="center" shrinkToFit="1"/>
      <protection hidden="1"/>
    </xf>
    <xf numFmtId="38" fontId="2" fillId="10" borderId="103" xfId="1" applyFont="1" applyFill="1" applyBorder="1" applyAlignment="1" applyProtection="1">
      <alignment vertical="center" shrinkToFit="1"/>
      <protection hidden="1"/>
    </xf>
    <xf numFmtId="0" fontId="2" fillId="16" borderId="11" xfId="0" applyFont="1" applyFill="1" applyBorder="1" applyAlignment="1" applyProtection="1">
      <alignment horizontal="center" vertical="center"/>
      <protection hidden="1"/>
    </xf>
    <xf numFmtId="38" fontId="2" fillId="10" borderId="22" xfId="1" applyFont="1" applyFill="1" applyBorder="1" applyAlignment="1" applyProtection="1">
      <alignment vertical="center" shrinkToFit="1"/>
      <protection hidden="1"/>
    </xf>
    <xf numFmtId="38" fontId="2" fillId="16" borderId="103" xfId="1" applyFont="1" applyFill="1" applyBorder="1" applyAlignment="1" applyProtection="1">
      <alignment vertical="center"/>
      <protection hidden="1"/>
    </xf>
    <xf numFmtId="0" fontId="39" fillId="0" borderId="0" xfId="0" applyFont="1" applyBorder="1" applyAlignment="1" applyProtection="1">
      <alignment horizontal="center" vertical="center"/>
      <protection hidden="1"/>
    </xf>
    <xf numFmtId="38" fontId="2" fillId="10" borderId="55" xfId="1" applyFont="1" applyFill="1" applyBorder="1" applyAlignment="1" applyProtection="1">
      <alignment vertical="center" shrinkToFit="1"/>
      <protection hidden="1"/>
    </xf>
    <xf numFmtId="38" fontId="2" fillId="16" borderId="104" xfId="1" applyFont="1" applyFill="1" applyBorder="1" applyAlignment="1" applyProtection="1">
      <alignment vertical="center"/>
      <protection hidden="1"/>
    </xf>
    <xf numFmtId="0" fontId="2" fillId="16" borderId="36" xfId="0" applyFont="1" applyFill="1" applyBorder="1" applyAlignment="1" applyProtection="1">
      <alignment horizontal="center" vertical="center"/>
      <protection hidden="1"/>
    </xf>
    <xf numFmtId="38" fontId="2" fillId="16" borderId="36" xfId="1" applyFont="1" applyFill="1" applyBorder="1" applyAlignment="1" applyProtection="1">
      <alignment vertical="center"/>
      <protection hidden="1"/>
    </xf>
    <xf numFmtId="38" fontId="2" fillId="16" borderId="20" xfId="1" applyFont="1" applyFill="1" applyBorder="1" applyAlignment="1" applyProtection="1">
      <alignment vertical="center"/>
      <protection hidden="1"/>
    </xf>
    <xf numFmtId="38" fontId="2" fillId="10" borderId="20" xfId="1" applyFont="1" applyFill="1" applyBorder="1" applyAlignment="1" applyProtection="1">
      <alignment vertical="center" shrinkToFit="1"/>
      <protection hidden="1"/>
    </xf>
    <xf numFmtId="0" fontId="0" fillId="0" borderId="0" xfId="0" applyFill="1" applyBorder="1" applyAlignment="1">
      <alignment vertical="center"/>
    </xf>
    <xf numFmtId="38" fontId="2" fillId="0" borderId="0" xfId="1" applyFont="1" applyFill="1" applyBorder="1" applyAlignment="1" applyProtection="1">
      <alignment vertical="center"/>
      <protection hidden="1"/>
    </xf>
    <xf numFmtId="0" fontId="2" fillId="0" borderId="105" xfId="0" applyNumberFormat="1" applyFont="1" applyBorder="1" applyAlignment="1" applyProtection="1">
      <alignment vertical="center" shrinkToFit="1"/>
      <protection hidden="1"/>
    </xf>
    <xf numFmtId="0" fontId="2" fillId="0" borderId="106" xfId="0" applyNumberFormat="1" applyFont="1" applyBorder="1" applyAlignment="1" applyProtection="1">
      <alignment vertical="center" shrinkToFit="1"/>
      <protection hidden="1"/>
    </xf>
    <xf numFmtId="0" fontId="2" fillId="0" borderId="107" xfId="0" applyNumberFormat="1" applyFont="1" applyBorder="1" applyAlignment="1" applyProtection="1">
      <alignment vertical="center" shrinkToFit="1"/>
      <protection hidden="1"/>
    </xf>
    <xf numFmtId="0" fontId="2" fillId="0" borderId="0" xfId="0" applyFont="1" applyFill="1" applyBorder="1" applyAlignment="1" applyProtection="1">
      <alignment vertical="center"/>
      <protection hidden="1"/>
    </xf>
    <xf numFmtId="14" fontId="2" fillId="0" borderId="108" xfId="0" applyNumberFormat="1" applyFont="1" applyFill="1" applyBorder="1" applyProtection="1">
      <alignment vertical="center"/>
      <protection hidden="1"/>
    </xf>
    <xf numFmtId="14" fontId="2" fillId="0" borderId="109" xfId="0" applyNumberFormat="1" applyFont="1" applyBorder="1" applyProtection="1">
      <alignment vertical="center"/>
      <protection hidden="1"/>
    </xf>
    <xf numFmtId="14" fontId="2" fillId="0" borderId="110" xfId="0" applyNumberFormat="1" applyFont="1" applyBorder="1" applyProtection="1">
      <alignment vertical="center"/>
      <protection hidden="1"/>
    </xf>
    <xf numFmtId="0" fontId="0" fillId="0" borderId="0" xfId="0" applyFont="1" applyFill="1" applyBorder="1" applyAlignment="1">
      <alignment horizontal="center" vertical="center"/>
    </xf>
    <xf numFmtId="0" fontId="40" fillId="0" borderId="0" xfId="0" applyFont="1" applyBorder="1" applyAlignment="1">
      <alignment horizontal="center" vertical="center"/>
    </xf>
    <xf numFmtId="0" fontId="36" fillId="0" borderId="0" xfId="0" applyFont="1" applyBorder="1" applyAlignment="1">
      <alignment horizontal="center" vertical="center"/>
    </xf>
    <xf numFmtId="0" fontId="2" fillId="0" borderId="36" xfId="0" applyFont="1" applyBorder="1" applyAlignment="1" applyProtection="1">
      <alignment horizontal="center" vertical="center"/>
      <protection hidden="1"/>
    </xf>
    <xf numFmtId="14" fontId="2" fillId="0" borderId="111" xfId="0" applyNumberFormat="1" applyFont="1" applyFill="1" applyBorder="1" applyProtection="1">
      <alignment vertical="center"/>
      <protection hidden="1"/>
    </xf>
    <xf numFmtId="14" fontId="2" fillId="0" borderId="112" xfId="0" applyNumberFormat="1" applyFont="1" applyBorder="1" applyProtection="1">
      <alignment vertical="center"/>
      <protection hidden="1"/>
    </xf>
    <xf numFmtId="14" fontId="2" fillId="0" borderId="113" xfId="0" applyNumberFormat="1" applyFont="1" applyBorder="1" applyProtection="1">
      <alignment vertical="center"/>
      <protection hidden="1"/>
    </xf>
    <xf numFmtId="0" fontId="2" fillId="0" borderId="0" xfId="0" applyFont="1" applyBorder="1" applyAlignment="1" applyProtection="1">
      <alignment horizontal="right" vertical="center"/>
      <protection hidden="1"/>
    </xf>
    <xf numFmtId="192" fontId="2" fillId="0" borderId="0" xfId="0" applyNumberFormat="1" applyFont="1" applyBorder="1" applyAlignment="1" applyProtection="1">
      <alignment vertical="center"/>
      <protection hidden="1"/>
    </xf>
    <xf numFmtId="188" fontId="2" fillId="0" borderId="0" xfId="0" applyNumberFormat="1" applyFont="1" applyFill="1" applyProtection="1">
      <alignment vertical="center"/>
      <protection hidden="1"/>
    </xf>
    <xf numFmtId="0" fontId="2" fillId="0" borderId="0" xfId="0" applyFont="1" applyAlignment="1" applyProtection="1">
      <alignment horizontal="center" vertical="center"/>
      <protection hidden="1"/>
    </xf>
    <xf numFmtId="0" fontId="0" fillId="0" borderId="0" xfId="0" applyAlignment="1">
      <alignment horizontal="right" vertical="center"/>
    </xf>
    <xf numFmtId="192" fontId="0" fillId="0" borderId="0" xfId="0" applyNumberFormat="1" applyAlignment="1">
      <alignment vertical="center"/>
    </xf>
    <xf numFmtId="0" fontId="2" fillId="0" borderId="56" xfId="0" applyFont="1" applyBorder="1" applyProtection="1">
      <alignment vertical="center"/>
      <protection hidden="1"/>
    </xf>
    <xf numFmtId="0" fontId="2" fillId="0" borderId="7" xfId="0" applyFont="1" applyBorder="1" applyAlignment="1" applyProtection="1">
      <alignment horizontal="left" vertical="center"/>
      <protection hidden="1"/>
    </xf>
    <xf numFmtId="0" fontId="2" fillId="0" borderId="8" xfId="0" applyFont="1" applyBorder="1" applyAlignment="1" applyProtection="1">
      <alignment horizontal="left" vertical="center"/>
      <protection hidden="1"/>
    </xf>
    <xf numFmtId="0" fontId="2" fillId="0" borderId="9" xfId="0" applyFont="1" applyBorder="1" applyProtection="1">
      <alignment vertical="center"/>
      <protection hidden="1"/>
    </xf>
    <xf numFmtId="0" fontId="2" fillId="0" borderId="11" xfId="0" applyFont="1" applyBorder="1" applyProtection="1">
      <alignment vertical="center"/>
      <protection hidden="1"/>
    </xf>
    <xf numFmtId="0" fontId="2" fillId="0" borderId="108" xfId="0" applyFont="1" applyBorder="1" applyAlignment="1" applyProtection="1">
      <alignment horizontal="right" vertical="center"/>
      <protection hidden="1"/>
    </xf>
    <xf numFmtId="0" fontId="2" fillId="0" borderId="109" xfId="0" applyFont="1" applyBorder="1" applyAlignment="1" applyProtection="1">
      <alignment horizontal="right" vertical="center"/>
      <protection hidden="1"/>
    </xf>
    <xf numFmtId="0" fontId="2" fillId="0" borderId="56" xfId="0" applyFont="1" applyBorder="1" applyAlignment="1" applyProtection="1">
      <alignment horizontal="center" vertical="center"/>
      <protection hidden="1"/>
    </xf>
    <xf numFmtId="4" fontId="2" fillId="0" borderId="10" xfId="0" applyNumberFormat="1" applyFont="1" applyFill="1" applyBorder="1" applyAlignment="1" applyProtection="1">
      <alignment vertical="center" shrinkToFit="1"/>
      <protection hidden="1"/>
    </xf>
    <xf numFmtId="40" fontId="2" fillId="0" borderId="11" xfId="1" applyNumberFormat="1" applyFont="1" applyBorder="1" applyAlignment="1" applyProtection="1">
      <alignment vertical="center" shrinkToFit="1"/>
      <protection hidden="1"/>
    </xf>
    <xf numFmtId="4" fontId="2" fillId="0" borderId="12" xfId="0" applyNumberFormat="1" applyFont="1" applyBorder="1" applyAlignment="1" applyProtection="1">
      <alignment vertical="center" shrinkToFit="1"/>
      <protection hidden="1"/>
    </xf>
    <xf numFmtId="2" fontId="2" fillId="0" borderId="11" xfId="0" applyNumberFormat="1" applyFont="1" applyBorder="1" applyAlignment="1" applyProtection="1">
      <alignment vertical="center" shrinkToFit="1"/>
      <protection hidden="1"/>
    </xf>
    <xf numFmtId="40" fontId="2" fillId="0" borderId="12" xfId="0" applyNumberFormat="1" applyFont="1" applyBorder="1" applyAlignment="1" applyProtection="1">
      <alignment vertical="center" shrinkToFit="1"/>
      <protection hidden="1"/>
    </xf>
    <xf numFmtId="4" fontId="2" fillId="0" borderId="11" xfId="1" applyNumberFormat="1" applyFont="1" applyBorder="1" applyAlignment="1" applyProtection="1">
      <alignment vertical="center" shrinkToFit="1"/>
      <protection hidden="1"/>
    </xf>
    <xf numFmtId="3" fontId="2" fillId="0" borderId="56" xfId="0" applyNumberFormat="1" applyFont="1" applyFill="1" applyBorder="1" applyAlignment="1" applyProtection="1">
      <alignment vertical="center" shrinkToFit="1"/>
      <protection hidden="1"/>
    </xf>
    <xf numFmtId="3" fontId="2" fillId="0" borderId="109" xfId="1" applyNumberFormat="1" applyFont="1" applyBorder="1" applyAlignment="1">
      <alignment vertical="center" shrinkToFit="1"/>
    </xf>
    <xf numFmtId="3" fontId="2" fillId="0" borderId="108" xfId="0" applyNumberFormat="1" applyFont="1" applyFill="1" applyBorder="1" applyAlignment="1" applyProtection="1">
      <alignment vertical="center" shrinkToFit="1"/>
      <protection hidden="1"/>
    </xf>
    <xf numFmtId="3" fontId="0" fillId="0" borderId="114" xfId="0" applyNumberFormat="1" applyBorder="1" applyAlignment="1">
      <alignment vertical="center" shrinkToFit="1"/>
    </xf>
    <xf numFmtId="3" fontId="0" fillId="0" borderId="109" xfId="0" applyNumberFormat="1" applyBorder="1" applyAlignment="1">
      <alignment vertical="center" shrinkToFit="1"/>
    </xf>
    <xf numFmtId="0" fontId="2" fillId="0" borderId="56" xfId="0" applyFont="1" applyBorder="1" applyAlignment="1" applyProtection="1">
      <alignment vertical="center" wrapText="1"/>
      <protection hidden="1"/>
    </xf>
    <xf numFmtId="4" fontId="2" fillId="0" borderId="48" xfId="0" applyNumberFormat="1" applyFont="1" applyBorder="1" applyAlignment="1" applyProtection="1">
      <alignment vertical="center" shrinkToFit="1"/>
      <protection hidden="1"/>
    </xf>
    <xf numFmtId="4" fontId="2" fillId="0" borderId="49" xfId="0" applyNumberFormat="1" applyFont="1" applyBorder="1" applyAlignment="1" applyProtection="1">
      <alignment vertical="center" shrinkToFit="1"/>
      <protection hidden="1"/>
    </xf>
    <xf numFmtId="40" fontId="2" fillId="0" borderId="50" xfId="1" applyNumberFormat="1" applyFont="1" applyBorder="1" applyAlignment="1" applyProtection="1">
      <alignment vertical="center" shrinkToFit="1"/>
      <protection hidden="1"/>
    </xf>
    <xf numFmtId="4" fontId="2" fillId="17" borderId="48" xfId="0" applyNumberFormat="1" applyFont="1" applyFill="1" applyBorder="1" applyAlignment="1" applyProtection="1">
      <alignment vertical="center" shrinkToFit="1"/>
      <protection hidden="1"/>
    </xf>
    <xf numFmtId="4" fontId="2" fillId="17" borderId="49" xfId="0" applyNumberFormat="1" applyFont="1" applyFill="1" applyBorder="1" applyAlignment="1" applyProtection="1">
      <alignment vertical="center" shrinkToFit="1"/>
      <protection hidden="1"/>
    </xf>
    <xf numFmtId="40" fontId="2" fillId="17" borderId="50" xfId="1" applyNumberFormat="1" applyFont="1" applyFill="1" applyBorder="1" applyAlignment="1" applyProtection="1">
      <alignment vertical="center" shrinkToFit="1"/>
      <protection hidden="1"/>
    </xf>
    <xf numFmtId="0" fontId="2" fillId="0" borderId="0" xfId="0" applyFont="1" applyProtection="1">
      <alignment vertical="center"/>
    </xf>
    <xf numFmtId="0" fontId="30" fillId="0" borderId="11" xfId="0" applyFont="1" applyBorder="1" applyProtection="1">
      <alignment vertical="center"/>
    </xf>
    <xf numFmtId="193" fontId="42" fillId="18" borderId="0" xfId="0" applyNumberFormat="1" applyFont="1" applyFill="1" applyProtection="1">
      <alignment vertical="center"/>
    </xf>
    <xf numFmtId="0" fontId="30" fillId="0" borderId="11" xfId="0" applyFont="1" applyBorder="1" applyAlignment="1" applyProtection="1">
      <alignment horizontal="center" vertical="center" wrapText="1"/>
    </xf>
    <xf numFmtId="194" fontId="30" fillId="0" borderId="11" xfId="1" applyNumberFormat="1" applyFont="1" applyBorder="1" applyProtection="1">
      <alignment vertical="center"/>
    </xf>
    <xf numFmtId="195" fontId="30" fillId="0" borderId="11" xfId="1" applyNumberFormat="1" applyFont="1" applyBorder="1" applyProtection="1">
      <alignment vertical="center"/>
    </xf>
    <xf numFmtId="195" fontId="30" fillId="18" borderId="11" xfId="1" applyNumberFormat="1" applyFont="1" applyFill="1" applyBorder="1" applyAlignment="1" applyProtection="1">
      <alignment vertical="center"/>
    </xf>
    <xf numFmtId="0" fontId="2" fillId="0" borderId="11" xfId="0" applyFont="1" applyBorder="1" applyProtection="1">
      <alignment vertical="center"/>
    </xf>
    <xf numFmtId="0" fontId="2" fillId="0" borderId="11" xfId="0" applyFont="1" applyBorder="1" applyAlignment="1" applyProtection="1">
      <alignment horizontal="center" vertical="center"/>
    </xf>
    <xf numFmtId="38" fontId="2" fillId="0" borderId="11" xfId="1" applyFont="1" applyBorder="1" applyProtection="1">
      <alignment vertical="center"/>
    </xf>
    <xf numFmtId="38" fontId="2" fillId="0" borderId="100" xfId="1" applyFont="1" applyBorder="1" applyProtection="1">
      <alignment vertical="center"/>
    </xf>
    <xf numFmtId="38" fontId="2" fillId="18" borderId="11" xfId="1" applyFont="1" applyFill="1" applyBorder="1" applyProtection="1">
      <alignment vertical="center"/>
    </xf>
    <xf numFmtId="9" fontId="2" fillId="0" borderId="11" xfId="0" applyNumberFormat="1" applyFont="1" applyBorder="1" applyAlignment="1" applyProtection="1">
      <alignment horizontal="center" vertical="center"/>
    </xf>
    <xf numFmtId="38" fontId="2" fillId="7" borderId="11" xfId="1" applyFont="1" applyFill="1" applyBorder="1" applyProtection="1">
      <alignment vertical="center"/>
      <protection locked="0"/>
    </xf>
    <xf numFmtId="38" fontId="43" fillId="0" borderId="0" xfId="1" applyFont="1">
      <alignment vertical="center"/>
    </xf>
    <xf numFmtId="38" fontId="43" fillId="0" borderId="22" xfId="1" applyFont="1" applyBorder="1">
      <alignment vertical="center"/>
    </xf>
    <xf numFmtId="38" fontId="43" fillId="0" borderId="56" xfId="1" applyFont="1" applyBorder="1">
      <alignment vertical="center"/>
    </xf>
    <xf numFmtId="38" fontId="43" fillId="0" borderId="63" xfId="1" applyFont="1" applyBorder="1">
      <alignment vertical="center"/>
    </xf>
    <xf numFmtId="38" fontId="43" fillId="0" borderId="89" xfId="1" applyFont="1" applyBorder="1">
      <alignment vertical="center"/>
    </xf>
    <xf numFmtId="38" fontId="43" fillId="0" borderId="11" xfId="1" applyFont="1" applyBorder="1" applyProtection="1">
      <alignment vertical="center"/>
    </xf>
    <xf numFmtId="38" fontId="43" fillId="0" borderId="11" xfId="1" applyFont="1" applyBorder="1">
      <alignment vertical="center"/>
    </xf>
    <xf numFmtId="38" fontId="43" fillId="0" borderId="63" xfId="1" applyFont="1" applyBorder="1" applyProtection="1">
      <alignment vertical="center"/>
    </xf>
    <xf numFmtId="38" fontId="43" fillId="0" borderId="43" xfId="1" applyFont="1" applyBorder="1">
      <alignment vertical="center"/>
    </xf>
    <xf numFmtId="38" fontId="43" fillId="0" borderId="117" xfId="1" applyFont="1" applyBorder="1">
      <alignment vertical="center"/>
    </xf>
    <xf numFmtId="176" fontId="5" fillId="0" borderId="0" xfId="0" applyNumberFormat="1" applyFont="1" applyAlignment="1" applyProtection="1">
      <alignment horizontal="left" vertical="top" wrapText="1"/>
      <protection hidden="1"/>
    </xf>
    <xf numFmtId="38" fontId="17" fillId="8" borderId="13" xfId="1" applyFont="1" applyFill="1" applyBorder="1" applyAlignment="1" applyProtection="1">
      <alignment horizontal="center" vertical="center"/>
      <protection hidden="1"/>
    </xf>
    <xf numFmtId="0" fontId="20" fillId="0" borderId="16" xfId="0" applyFont="1" applyBorder="1" applyAlignment="1" applyProtection="1">
      <alignment vertical="center"/>
      <protection hidden="1"/>
    </xf>
    <xf numFmtId="38" fontId="17" fillId="8" borderId="14" xfId="1" applyFont="1" applyFill="1" applyBorder="1" applyAlignment="1" applyProtection="1">
      <alignment horizontal="center" vertical="center"/>
      <protection hidden="1"/>
    </xf>
    <xf numFmtId="0" fontId="20" fillId="0" borderId="17" xfId="0" applyFont="1" applyBorder="1" applyAlignment="1" applyProtection="1">
      <alignment vertical="center"/>
      <protection hidden="1"/>
    </xf>
    <xf numFmtId="0" fontId="7" fillId="2" borderId="1" xfId="0" applyFont="1" applyFill="1" applyBorder="1" applyAlignment="1" applyProtection="1">
      <alignment vertical="center" wrapText="1"/>
      <protection hidden="1"/>
    </xf>
    <xf numFmtId="0" fontId="7" fillId="2" borderId="2" xfId="0" applyFont="1" applyFill="1" applyBorder="1" applyAlignment="1" applyProtection="1">
      <alignment vertical="center" wrapText="1"/>
      <protection hidden="1"/>
    </xf>
    <xf numFmtId="0" fontId="2" fillId="4" borderId="4" xfId="0" applyFont="1" applyFill="1" applyBorder="1" applyAlignment="1" applyProtection="1">
      <alignment horizontal="center" vertical="center" wrapText="1"/>
    </xf>
    <xf numFmtId="0" fontId="0" fillId="0" borderId="5" xfId="0" applyFont="1" applyBorder="1" applyProtection="1">
      <alignment vertical="center"/>
    </xf>
    <xf numFmtId="0" fontId="7" fillId="2" borderId="3" xfId="0" applyFont="1" applyFill="1" applyBorder="1" applyAlignment="1" applyProtection="1">
      <alignment vertical="center" wrapText="1"/>
      <protection hidden="1"/>
    </xf>
    <xf numFmtId="0" fontId="8" fillId="2" borderId="2" xfId="0" applyFont="1" applyFill="1" applyBorder="1" applyAlignment="1">
      <alignment vertical="center" wrapText="1"/>
    </xf>
    <xf numFmtId="0" fontId="2" fillId="4" borderId="6" xfId="0" applyFont="1" applyFill="1" applyBorder="1" applyAlignment="1" applyProtection="1">
      <alignment horizontal="center" vertical="center" wrapText="1"/>
    </xf>
    <xf numFmtId="0" fontId="0" fillId="4" borderId="5" xfId="0" applyFont="1" applyFill="1" applyBorder="1" applyAlignment="1" applyProtection="1">
      <alignment vertical="center" wrapText="1"/>
    </xf>
    <xf numFmtId="0" fontId="2" fillId="3" borderId="1" xfId="0" applyFont="1" applyFill="1" applyBorder="1" applyAlignment="1" applyProtection="1">
      <alignment horizontal="center" vertical="center"/>
      <protection hidden="1"/>
    </xf>
    <xf numFmtId="0" fontId="0" fillId="0" borderId="2" xfId="0" applyBorder="1" applyAlignment="1">
      <alignment horizontal="center" vertical="center"/>
    </xf>
    <xf numFmtId="0" fontId="2" fillId="5" borderId="4" xfId="0" applyFont="1" applyFill="1" applyBorder="1" applyAlignment="1" applyProtection="1">
      <alignment horizontal="center" vertical="center"/>
    </xf>
    <xf numFmtId="0" fontId="0" fillId="0" borderId="5" xfId="0" applyFont="1" applyBorder="1" applyAlignment="1" applyProtection="1">
      <alignment horizontal="center" vertical="center"/>
    </xf>
    <xf numFmtId="38" fontId="16" fillId="6" borderId="0" xfId="1" applyFont="1" applyFill="1" applyBorder="1" applyAlignment="1" applyProtection="1">
      <alignment horizontal="center" vertical="center"/>
      <protection hidden="1"/>
    </xf>
    <xf numFmtId="38" fontId="18" fillId="8" borderId="15" xfId="1" applyFont="1" applyFill="1" applyBorder="1" applyAlignment="1" applyProtection="1">
      <alignment horizontal="center" vertical="center"/>
      <protection hidden="1"/>
    </xf>
    <xf numFmtId="0" fontId="2" fillId="0" borderId="18" xfId="0" applyFont="1" applyBorder="1" applyAlignment="1" applyProtection="1">
      <alignment vertical="center"/>
      <protection hidden="1"/>
    </xf>
    <xf numFmtId="186" fontId="7" fillId="0" borderId="41" xfId="0" applyNumberFormat="1" applyFont="1" applyBorder="1" applyAlignment="1" applyProtection="1">
      <alignment horizontal="right" shrinkToFit="1"/>
      <protection hidden="1"/>
    </xf>
    <xf numFmtId="186" fontId="8" fillId="0" borderId="41" xfId="0" applyNumberFormat="1" applyFont="1" applyBorder="1" applyAlignment="1">
      <alignment horizontal="right" shrinkToFit="1"/>
    </xf>
    <xf numFmtId="0" fontId="13" fillId="0" borderId="0" xfId="0" applyFont="1" applyFill="1" applyAlignment="1" applyProtection="1">
      <alignment horizontal="left" vertical="top" wrapText="1"/>
      <protection hidden="1"/>
    </xf>
    <xf numFmtId="0" fontId="14" fillId="7" borderId="0" xfId="0" applyFont="1" applyFill="1" applyAlignment="1" applyProtection="1">
      <alignment horizontal="left" vertical="center" wrapText="1" indent="3"/>
      <protection hidden="1"/>
    </xf>
    <xf numFmtId="38" fontId="16" fillId="6" borderId="0" xfId="1" quotePrefix="1" applyFont="1" applyFill="1" applyBorder="1" applyAlignment="1" applyProtection="1">
      <alignment horizontal="center" vertical="center"/>
      <protection hidden="1"/>
    </xf>
    <xf numFmtId="0" fontId="2" fillId="0" borderId="28" xfId="0" applyFont="1" applyBorder="1" applyAlignment="1" applyProtection="1">
      <alignment vertical="center"/>
      <protection hidden="1"/>
    </xf>
    <xf numFmtId="0" fontId="0" fillId="0" borderId="54" xfId="0" applyBorder="1" applyAlignment="1">
      <alignment vertical="center"/>
    </xf>
    <xf numFmtId="0" fontId="0" fillId="0" borderId="35" xfId="0" applyBorder="1" applyAlignment="1">
      <alignment vertical="center"/>
    </xf>
    <xf numFmtId="0" fontId="2" fillId="0" borderId="28" xfId="0" applyFont="1" applyBorder="1" applyAlignment="1" applyProtection="1">
      <alignment horizontal="left" vertical="center"/>
      <protection hidden="1"/>
    </xf>
    <xf numFmtId="0" fontId="2" fillId="15" borderId="93" xfId="0" applyFont="1" applyFill="1" applyBorder="1" applyAlignment="1" applyProtection="1">
      <alignment vertical="center"/>
      <protection hidden="1"/>
    </xf>
    <xf numFmtId="0" fontId="2" fillId="15" borderId="54" xfId="0" applyFont="1" applyFill="1" applyBorder="1" applyAlignment="1" applyProtection="1">
      <alignment vertical="center"/>
      <protection hidden="1"/>
    </xf>
    <xf numFmtId="0" fontId="0" fillId="0" borderId="35" xfId="0" applyBorder="1" applyAlignment="1" applyProtection="1">
      <alignment vertical="center"/>
      <protection hidden="1"/>
    </xf>
    <xf numFmtId="0" fontId="2" fillId="15" borderId="28" xfId="0" applyFont="1" applyFill="1" applyBorder="1" applyAlignment="1" applyProtection="1">
      <alignment vertical="center"/>
      <protection hidden="1"/>
    </xf>
    <xf numFmtId="0" fontId="2" fillId="0" borderId="28" xfId="0" applyFont="1" applyBorder="1" applyAlignment="1" applyProtection="1">
      <alignment vertical="center" wrapText="1" shrinkToFit="1"/>
      <protection hidden="1"/>
    </xf>
    <xf numFmtId="0" fontId="0" fillId="0" borderId="54" xfId="0" applyBorder="1" applyAlignment="1">
      <alignment vertical="center" shrinkToFit="1"/>
    </xf>
    <xf numFmtId="0" fontId="0" fillId="0" borderId="35" xfId="0" applyBorder="1" applyAlignment="1">
      <alignment vertical="center" shrinkToFit="1"/>
    </xf>
    <xf numFmtId="190" fontId="2" fillId="15" borderId="80" xfId="0" applyNumberFormat="1" applyFont="1" applyFill="1" applyBorder="1" applyAlignment="1" applyProtection="1">
      <alignment vertical="center" shrinkToFit="1"/>
      <protection hidden="1"/>
    </xf>
    <xf numFmtId="190" fontId="0" fillId="0" borderId="88" xfId="0" applyNumberFormat="1" applyBorder="1" applyAlignment="1">
      <alignment vertical="center"/>
    </xf>
    <xf numFmtId="190" fontId="0" fillId="0" borderId="95" xfId="0" applyNumberFormat="1" applyBorder="1" applyAlignment="1">
      <alignment vertical="center"/>
    </xf>
    <xf numFmtId="0" fontId="2" fillId="10" borderId="80" xfId="0" applyFont="1" applyFill="1" applyBorder="1" applyAlignment="1" applyProtection="1">
      <alignment vertical="center"/>
      <protection hidden="1"/>
    </xf>
    <xf numFmtId="0" fontId="0" fillId="0" borderId="88" xfId="0" applyBorder="1" applyAlignment="1" applyProtection="1">
      <alignment vertical="center"/>
      <protection hidden="1"/>
    </xf>
    <xf numFmtId="0" fontId="0" fillId="0" borderId="95" xfId="0" applyBorder="1" applyAlignment="1">
      <alignment vertical="center"/>
    </xf>
    <xf numFmtId="3" fontId="2" fillId="15" borderId="29" xfId="0" applyNumberFormat="1" applyFont="1" applyFill="1" applyBorder="1" applyAlignment="1" applyProtection="1">
      <alignment vertical="center" shrinkToFit="1"/>
      <protection hidden="1"/>
    </xf>
    <xf numFmtId="0" fontId="0" fillId="0" borderId="29" xfId="0" applyBorder="1" applyAlignment="1">
      <alignment vertical="center" shrinkToFit="1"/>
    </xf>
    <xf numFmtId="3" fontId="2" fillId="15" borderId="11" xfId="0" applyNumberFormat="1" applyFont="1" applyFill="1" applyBorder="1" applyAlignment="1" applyProtection="1">
      <alignment vertical="center" shrinkToFit="1"/>
      <protection hidden="1"/>
    </xf>
    <xf numFmtId="0" fontId="0" fillId="0" borderId="11" xfId="0" applyBorder="1" applyAlignment="1">
      <alignment vertical="center" shrinkToFit="1"/>
    </xf>
    <xf numFmtId="3" fontId="2" fillId="15" borderId="36" xfId="0" applyNumberFormat="1" applyFont="1" applyFill="1" applyBorder="1" applyAlignment="1" applyProtection="1">
      <alignment vertical="center" shrinkToFit="1"/>
      <protection hidden="1"/>
    </xf>
    <xf numFmtId="0" fontId="0" fillId="0" borderId="36" xfId="0" applyBorder="1" applyAlignment="1">
      <alignment vertical="center" shrinkToFit="1"/>
    </xf>
    <xf numFmtId="3" fontId="2" fillId="0" borderId="11" xfId="0" applyNumberFormat="1" applyFont="1" applyBorder="1" applyAlignment="1" applyProtection="1">
      <alignment vertical="center" shrinkToFit="1"/>
      <protection hidden="1"/>
    </xf>
    <xf numFmtId="3" fontId="2" fillId="14" borderId="36" xfId="0" applyNumberFormat="1" applyFont="1" applyFill="1" applyBorder="1" applyAlignment="1" applyProtection="1">
      <alignment vertical="center" shrinkToFit="1"/>
      <protection hidden="1"/>
    </xf>
    <xf numFmtId="0" fontId="0" fillId="14" borderId="36" xfId="0" applyFill="1" applyBorder="1" applyAlignment="1">
      <alignment vertical="center" shrinkToFit="1"/>
    </xf>
    <xf numFmtId="3" fontId="2" fillId="0" borderId="52" xfId="0" applyNumberFormat="1" applyFont="1" applyBorder="1" applyAlignment="1" applyProtection="1">
      <alignment vertical="center" shrinkToFit="1"/>
      <protection hidden="1"/>
    </xf>
    <xf numFmtId="0" fontId="0" fillId="0" borderId="52" xfId="0" applyBorder="1" applyAlignment="1">
      <alignment vertical="center" shrinkToFit="1"/>
    </xf>
    <xf numFmtId="3" fontId="2" fillId="0" borderId="29" xfId="0" applyNumberFormat="1" applyFont="1" applyBorder="1" applyAlignment="1" applyProtection="1">
      <alignment vertical="center" shrinkToFit="1"/>
      <protection hidden="1"/>
    </xf>
    <xf numFmtId="3" fontId="2" fillId="0" borderId="22" xfId="0" applyNumberFormat="1" applyFont="1" applyBorder="1" applyAlignment="1" applyProtection="1">
      <alignment vertical="center" shrinkToFit="1"/>
      <protection hidden="1"/>
    </xf>
    <xf numFmtId="0" fontId="0" fillId="0" borderId="22" xfId="0" applyBorder="1" applyAlignment="1">
      <alignment vertical="center" shrinkToFit="1"/>
    </xf>
    <xf numFmtId="3" fontId="2" fillId="14" borderId="73" xfId="0" applyNumberFormat="1" applyFont="1" applyFill="1" applyBorder="1" applyAlignment="1" applyProtection="1">
      <alignment vertical="center" shrinkToFit="1"/>
      <protection hidden="1"/>
    </xf>
    <xf numFmtId="0" fontId="0" fillId="14" borderId="73" xfId="0" applyFill="1" applyBorder="1" applyAlignment="1">
      <alignment vertical="center" shrinkToFit="1"/>
    </xf>
    <xf numFmtId="3" fontId="2" fillId="14" borderId="11" xfId="0" applyNumberFormat="1" applyFont="1" applyFill="1" applyBorder="1" applyAlignment="1" applyProtection="1">
      <alignment horizontal="center" vertical="center" shrinkToFit="1"/>
      <protection hidden="1"/>
    </xf>
    <xf numFmtId="0" fontId="0" fillId="14" borderId="11" xfId="0" applyFill="1" applyBorder="1" applyAlignment="1">
      <alignment horizontal="center" vertical="center" shrinkToFit="1"/>
    </xf>
    <xf numFmtId="3" fontId="2" fillId="14" borderId="86" xfId="0" applyNumberFormat="1" applyFont="1" applyFill="1" applyBorder="1" applyAlignment="1" applyProtection="1">
      <alignment horizontal="center" vertical="center" shrinkToFit="1"/>
      <protection hidden="1"/>
    </xf>
    <xf numFmtId="0" fontId="0" fillId="14" borderId="86" xfId="0" applyFill="1" applyBorder="1" applyAlignment="1">
      <alignment horizontal="center" vertical="center" shrinkToFit="1"/>
    </xf>
    <xf numFmtId="190" fontId="2" fillId="15" borderId="81" xfId="0" applyNumberFormat="1" applyFont="1" applyFill="1" applyBorder="1" applyAlignment="1" applyProtection="1">
      <alignment vertical="center" shrinkToFit="1"/>
      <protection hidden="1"/>
    </xf>
    <xf numFmtId="190" fontId="0" fillId="0" borderId="89" xfId="0" applyNumberFormat="1" applyBorder="1" applyAlignment="1">
      <alignment vertical="center"/>
    </xf>
    <xf numFmtId="190" fontId="0" fillId="0" borderId="96" xfId="0" applyNumberFormat="1" applyBorder="1" applyAlignment="1">
      <alignment vertical="center"/>
    </xf>
    <xf numFmtId="0" fontId="35" fillId="10" borderId="11" xfId="0" applyFont="1" applyFill="1" applyBorder="1" applyAlignment="1" applyProtection="1">
      <alignment horizontal="center" vertical="center"/>
      <protection hidden="1"/>
    </xf>
    <xf numFmtId="0" fontId="40" fillId="0" borderId="36" xfId="0" applyFont="1" applyBorder="1" applyAlignment="1" applyProtection="1">
      <alignment vertical="center"/>
      <protection hidden="1"/>
    </xf>
    <xf numFmtId="190" fontId="35" fillId="10" borderId="11" xfId="0" applyNumberFormat="1" applyFont="1" applyFill="1" applyBorder="1" applyAlignment="1" applyProtection="1">
      <alignment vertical="center"/>
      <protection hidden="1"/>
    </xf>
    <xf numFmtId="190" fontId="40" fillId="0" borderId="36" xfId="0" applyNumberFormat="1" applyFont="1" applyBorder="1" applyAlignment="1" applyProtection="1">
      <alignment vertical="center"/>
      <protection hidden="1"/>
    </xf>
    <xf numFmtId="190" fontId="35" fillId="15" borderId="82" xfId="0" applyNumberFormat="1" applyFont="1" applyFill="1" applyBorder="1" applyAlignment="1" applyProtection="1">
      <alignment vertical="center" shrinkToFit="1"/>
      <protection hidden="1"/>
    </xf>
    <xf numFmtId="190" fontId="0" fillId="0" borderId="90" xfId="0" applyNumberFormat="1" applyBorder="1" applyAlignment="1">
      <alignment vertical="center"/>
    </xf>
    <xf numFmtId="190" fontId="0" fillId="0" borderId="97" xfId="0" applyNumberFormat="1" applyBorder="1" applyAlignment="1">
      <alignment vertical="center"/>
    </xf>
    <xf numFmtId="190" fontId="2" fillId="15" borderId="83" xfId="0" applyNumberFormat="1" applyFont="1" applyFill="1" applyBorder="1" applyAlignment="1" applyProtection="1">
      <alignment vertical="center" shrinkToFit="1"/>
      <protection hidden="1"/>
    </xf>
    <xf numFmtId="190" fontId="0" fillId="0" borderId="91" xfId="0" applyNumberFormat="1" applyBorder="1" applyAlignment="1">
      <alignment vertical="center"/>
    </xf>
    <xf numFmtId="190" fontId="0" fillId="0" borderId="98" xfId="0" applyNumberFormat="1" applyBorder="1" applyAlignment="1">
      <alignment vertical="center"/>
    </xf>
    <xf numFmtId="190" fontId="35" fillId="10" borderId="55" xfId="0" applyNumberFormat="1" applyFont="1" applyFill="1" applyBorder="1" applyAlignment="1" applyProtection="1">
      <alignment vertical="center"/>
      <protection hidden="1"/>
    </xf>
    <xf numFmtId="190" fontId="40" fillId="0" borderId="37" xfId="0" applyNumberFormat="1" applyFont="1" applyBorder="1" applyAlignment="1" applyProtection="1">
      <alignment vertical="center"/>
      <protection hidden="1"/>
    </xf>
    <xf numFmtId="190" fontId="35" fillId="0" borderId="0" xfId="0" applyNumberFormat="1" applyFont="1" applyAlignment="1" applyProtection="1">
      <alignment vertical="center" shrinkToFit="1"/>
      <protection hidden="1"/>
    </xf>
    <xf numFmtId="190" fontId="40" fillId="0" borderId="0" xfId="0" applyNumberFormat="1" applyFont="1" applyAlignment="1" applyProtection="1">
      <alignment vertical="center" shrinkToFit="1"/>
      <protection hidden="1"/>
    </xf>
    <xf numFmtId="0" fontId="0" fillId="0" borderId="88" xfId="0" applyBorder="1" applyAlignment="1">
      <alignment vertical="center"/>
    </xf>
    <xf numFmtId="189" fontId="35" fillId="15" borderId="70" xfId="0" applyNumberFormat="1" applyFont="1" applyFill="1" applyBorder="1" applyAlignment="1" applyProtection="1">
      <alignment horizontal="center" vertical="center" shrinkToFit="1"/>
      <protection hidden="1"/>
    </xf>
    <xf numFmtId="189" fontId="35" fillId="15" borderId="77" xfId="0" applyNumberFormat="1" applyFont="1" applyFill="1" applyBorder="1" applyAlignment="1" applyProtection="1">
      <alignment horizontal="center" vertical="center" shrinkToFit="1"/>
      <protection hidden="1"/>
    </xf>
    <xf numFmtId="190" fontId="35" fillId="15" borderId="15" xfId="0" applyNumberFormat="1" applyFont="1" applyFill="1" applyBorder="1" applyAlignment="1" applyProtection="1">
      <alignment vertical="center" shrinkToFit="1"/>
      <protection hidden="1"/>
    </xf>
    <xf numFmtId="190" fontId="35" fillId="15" borderId="92" xfId="0" applyNumberFormat="1" applyFont="1" applyFill="1" applyBorder="1" applyAlignment="1" applyProtection="1">
      <alignment vertical="center" shrinkToFit="1"/>
      <protection hidden="1"/>
    </xf>
    <xf numFmtId="190" fontId="35" fillId="15" borderId="99" xfId="0" applyNumberFormat="1" applyFont="1" applyFill="1" applyBorder="1" applyAlignment="1" applyProtection="1">
      <alignment vertical="center" shrinkToFit="1"/>
      <protection hidden="1"/>
    </xf>
    <xf numFmtId="0" fontId="2" fillId="10" borderId="15" xfId="0" applyFont="1" applyFill="1" applyBorder="1" applyAlignment="1" applyProtection="1">
      <alignment horizontal="center" vertical="center"/>
      <protection hidden="1"/>
    </xf>
    <xf numFmtId="0" fontId="0" fillId="0" borderId="99" xfId="0" applyBorder="1" applyAlignment="1">
      <alignment horizontal="center" vertical="center"/>
    </xf>
    <xf numFmtId="0" fontId="38" fillId="0" borderId="0" xfId="0" applyFont="1" applyBorder="1" applyAlignment="1" applyProtection="1">
      <alignment vertical="center"/>
      <protection hidden="1"/>
    </xf>
    <xf numFmtId="0" fontId="41" fillId="0" borderId="0" xfId="0" applyFont="1" applyBorder="1" applyAlignment="1">
      <alignment vertical="center"/>
    </xf>
    <xf numFmtId="0" fontId="2" fillId="15" borderId="69" xfId="0" applyFont="1" applyFill="1" applyBorder="1" applyAlignment="1" applyProtection="1">
      <alignment horizontal="center" vertical="center" shrinkToFit="1"/>
      <protection hidden="1"/>
    </xf>
    <xf numFmtId="0" fontId="2" fillId="15" borderId="67" xfId="0" applyFont="1" applyFill="1" applyBorder="1" applyAlignment="1" applyProtection="1">
      <alignment horizontal="center" vertical="center" shrinkToFit="1"/>
      <protection hidden="1"/>
    </xf>
    <xf numFmtId="0" fontId="2" fillId="15" borderId="68" xfId="0" applyFont="1" applyFill="1" applyBorder="1" applyAlignment="1" applyProtection="1">
      <alignment horizontal="center" vertical="center" shrinkToFit="1"/>
      <protection hidden="1"/>
    </xf>
    <xf numFmtId="0" fontId="2" fillId="10" borderId="58" xfId="0" applyFont="1" applyFill="1" applyBorder="1" applyAlignment="1" applyProtection="1">
      <alignment vertical="center"/>
      <protection hidden="1"/>
    </xf>
    <xf numFmtId="0" fontId="2" fillId="10" borderId="59" xfId="0" applyFont="1" applyFill="1" applyBorder="1" applyAlignment="1" applyProtection="1">
      <alignment vertical="center"/>
      <protection hidden="1"/>
    </xf>
    <xf numFmtId="0" fontId="2" fillId="10" borderId="58" xfId="0" applyFont="1" applyFill="1" applyBorder="1" applyAlignment="1" applyProtection="1">
      <alignment horizontal="center" vertical="center" wrapText="1"/>
      <protection hidden="1"/>
    </xf>
    <xf numFmtId="0" fontId="2" fillId="10" borderId="59" xfId="0" applyFont="1" applyFill="1" applyBorder="1" applyAlignment="1" applyProtection="1">
      <alignment horizontal="center" vertical="center"/>
      <protection hidden="1"/>
    </xf>
    <xf numFmtId="0" fontId="36" fillId="0" borderId="0" xfId="0" applyFont="1" applyAlignment="1" applyProtection="1">
      <alignment horizontal="left" vertical="center" wrapText="1"/>
      <protection hidden="1"/>
    </xf>
    <xf numFmtId="0" fontId="36" fillId="0" borderId="0" xfId="0" applyFont="1" applyAlignment="1">
      <alignment vertical="center" wrapText="1"/>
    </xf>
    <xf numFmtId="188" fontId="31" fillId="0" borderId="0" xfId="0" applyNumberFormat="1" applyFont="1" applyAlignment="1" applyProtection="1">
      <alignment horizontal="left" vertical="center" wrapText="1"/>
      <protection hidden="1"/>
    </xf>
    <xf numFmtId="0" fontId="32" fillId="0" borderId="0" xfId="0" applyFont="1" applyAlignment="1">
      <alignment vertical="center"/>
    </xf>
    <xf numFmtId="0" fontId="0" fillId="0" borderId="0" xfId="0" applyAlignment="1">
      <alignment vertical="center"/>
    </xf>
    <xf numFmtId="0" fontId="33" fillId="0" borderId="0" xfId="0" applyFont="1" applyAlignment="1" applyProtection="1">
      <alignment horizontal="center" vertical="center"/>
      <protection hidden="1"/>
    </xf>
    <xf numFmtId="0" fontId="34" fillId="0" borderId="0" xfId="0" applyFont="1" applyAlignment="1">
      <alignment horizontal="center" vertical="center"/>
    </xf>
    <xf numFmtId="0" fontId="2" fillId="10" borderId="15" xfId="0" applyFont="1" applyFill="1" applyBorder="1" applyAlignment="1" applyProtection="1">
      <alignment horizontal="center" vertical="center" shrinkToFit="1"/>
      <protection hidden="1"/>
    </xf>
    <xf numFmtId="0" fontId="0" fillId="0" borderId="99" xfId="0" applyBorder="1" applyAlignment="1">
      <alignment horizontal="center" vertical="center" shrinkToFit="1"/>
    </xf>
    <xf numFmtId="0" fontId="2" fillId="0" borderId="51" xfId="0" applyFont="1" applyBorder="1" applyAlignment="1" applyProtection="1">
      <alignment vertical="center"/>
      <protection hidden="1"/>
    </xf>
    <xf numFmtId="0" fontId="2" fillId="0" borderId="52" xfId="0" applyFont="1" applyBorder="1" applyAlignment="1" applyProtection="1">
      <alignment vertical="center"/>
      <protection hidden="1"/>
    </xf>
    <xf numFmtId="0" fontId="2" fillId="0" borderId="58" xfId="0" applyFont="1" applyBorder="1" applyAlignment="1" applyProtection="1">
      <alignment horizontal="center" vertical="center"/>
      <protection hidden="1"/>
    </xf>
    <xf numFmtId="0" fontId="0" fillId="0" borderId="59" xfId="0" applyBorder="1" applyAlignment="1">
      <alignment vertical="center"/>
    </xf>
    <xf numFmtId="0" fontId="2" fillId="0" borderId="60" xfId="0" applyFont="1" applyBorder="1" applyAlignment="1" applyProtection="1">
      <alignment horizontal="center" vertical="center"/>
      <protection hidden="1"/>
    </xf>
    <xf numFmtId="0" fontId="0" fillId="0" borderId="61" xfId="0" applyBorder="1" applyAlignment="1">
      <alignment vertical="center"/>
    </xf>
    <xf numFmtId="0" fontId="2" fillId="0" borderId="62" xfId="0" applyFont="1" applyBorder="1" applyAlignment="1" applyProtection="1">
      <alignment vertical="center" wrapText="1"/>
      <protection hidden="1"/>
    </xf>
    <xf numFmtId="0" fontId="0" fillId="0" borderId="63" xfId="0" applyBorder="1" applyAlignment="1">
      <alignment vertical="center"/>
    </xf>
    <xf numFmtId="0" fontId="2" fillId="0" borderId="64" xfId="0" applyFont="1" applyBorder="1" applyAlignment="1" applyProtection="1">
      <alignment vertical="center" wrapText="1"/>
      <protection hidden="1"/>
    </xf>
    <xf numFmtId="0" fontId="0" fillId="0" borderId="65" xfId="0" applyBorder="1" applyAlignment="1">
      <alignment vertical="center"/>
    </xf>
    <xf numFmtId="0" fontId="2" fillId="14" borderId="71" xfId="0" applyFont="1" applyFill="1" applyBorder="1" applyAlignment="1" applyProtection="1">
      <alignment vertical="center" wrapText="1"/>
      <protection hidden="1"/>
    </xf>
    <xf numFmtId="0" fontId="0" fillId="14" borderId="72" xfId="0" applyFill="1" applyBorder="1" applyAlignment="1">
      <alignment vertical="center"/>
    </xf>
    <xf numFmtId="0" fontId="2" fillId="14" borderId="78" xfId="0" applyFont="1" applyFill="1" applyBorder="1" applyAlignment="1" applyProtection="1">
      <alignment horizontal="center" vertical="center" wrapText="1"/>
      <protection hidden="1"/>
    </xf>
    <xf numFmtId="0" fontId="0" fillId="14" borderId="63" xfId="0" applyFill="1" applyBorder="1" applyAlignment="1">
      <alignment horizontal="center" vertical="center"/>
    </xf>
    <xf numFmtId="0" fontId="2" fillId="14" borderId="84" xfId="0" applyFont="1" applyFill="1" applyBorder="1" applyAlignment="1" applyProtection="1">
      <alignment horizontal="center" vertical="center" wrapText="1"/>
      <protection hidden="1"/>
    </xf>
    <xf numFmtId="0" fontId="0" fillId="14" borderId="85" xfId="0" applyFill="1" applyBorder="1" applyAlignment="1">
      <alignment horizontal="center" vertical="center"/>
    </xf>
    <xf numFmtId="0" fontId="2" fillId="0" borderId="0" xfId="0" applyFont="1" applyAlignment="1" applyProtection="1">
      <alignment vertical="center" wrapText="1"/>
      <protection hidden="1"/>
    </xf>
    <xf numFmtId="0" fontId="0" fillId="0" borderId="0" xfId="0" applyAlignment="1">
      <alignment vertical="center" wrapText="1"/>
    </xf>
    <xf numFmtId="0" fontId="2" fillId="0" borderId="52" xfId="0" quotePrefix="1" applyFont="1" applyBorder="1" applyAlignment="1" applyProtection="1">
      <alignment horizontal="center" vertical="center"/>
      <protection hidden="1"/>
    </xf>
    <xf numFmtId="0" fontId="0" fillId="0" borderId="52" xfId="0" applyBorder="1" applyAlignment="1">
      <alignment vertical="center"/>
    </xf>
    <xf numFmtId="0" fontId="2" fillId="0" borderId="52" xfId="0" applyFont="1" applyBorder="1" applyAlignment="1" applyProtection="1">
      <alignment horizontal="center" vertical="center" shrinkToFit="1"/>
      <protection hidden="1"/>
    </xf>
    <xf numFmtId="3" fontId="2" fillId="0" borderId="29" xfId="0" applyNumberFormat="1" applyFont="1" applyBorder="1" applyAlignment="1" applyProtection="1">
      <alignment horizontal="center" vertical="center" shrinkToFit="1"/>
      <protection hidden="1"/>
    </xf>
    <xf numFmtId="0" fontId="0" fillId="0" borderId="29" xfId="0" applyBorder="1" applyAlignment="1">
      <alignment horizontal="center" vertical="center" shrinkToFit="1"/>
    </xf>
    <xf numFmtId="3" fontId="2" fillId="14" borderId="11" xfId="0" applyNumberFormat="1" applyFont="1" applyFill="1" applyBorder="1" applyAlignment="1" applyProtection="1">
      <alignment vertical="center" shrinkToFit="1"/>
      <protection hidden="1"/>
    </xf>
    <xf numFmtId="0" fontId="0" fillId="14" borderId="11" xfId="0" applyFill="1" applyBorder="1" applyAlignment="1">
      <alignment vertical="center" shrinkToFit="1"/>
    </xf>
    <xf numFmtId="3" fontId="2" fillId="15" borderId="43" xfId="0" applyNumberFormat="1" applyFont="1" applyFill="1" applyBorder="1" applyAlignment="1" applyProtection="1">
      <alignment vertical="center" shrinkToFit="1"/>
      <protection hidden="1"/>
    </xf>
    <xf numFmtId="0" fontId="0" fillId="0" borderId="43" xfId="0" applyBorder="1" applyAlignment="1">
      <alignment vertical="center" shrinkToFit="1"/>
    </xf>
    <xf numFmtId="0" fontId="0" fillId="0" borderId="52" xfId="0" applyBorder="1" applyAlignment="1">
      <alignment horizontal="center" vertical="center"/>
    </xf>
    <xf numFmtId="0" fontId="2" fillId="0" borderId="52" xfId="0" quotePrefix="1" applyFont="1" applyBorder="1" applyAlignment="1" applyProtection="1">
      <alignment horizontal="center" vertical="center" shrinkToFit="1"/>
      <protection hidden="1"/>
    </xf>
    <xf numFmtId="0" fontId="0" fillId="0" borderId="52" xfId="0" applyBorder="1" applyAlignment="1">
      <alignment horizontal="center" vertical="center" shrinkToFit="1"/>
    </xf>
    <xf numFmtId="3" fontId="2" fillId="15" borderId="100" xfId="0" applyNumberFormat="1" applyFont="1" applyFill="1" applyBorder="1" applyAlignment="1" applyProtection="1">
      <alignment vertical="center" shrinkToFit="1"/>
      <protection hidden="1"/>
    </xf>
    <xf numFmtId="0" fontId="0" fillId="0" borderId="100" xfId="0" applyBorder="1" applyAlignment="1">
      <alignment vertical="center" shrinkToFit="1"/>
    </xf>
    <xf numFmtId="0" fontId="0" fillId="0" borderId="53" xfId="0" applyBorder="1" applyAlignment="1">
      <alignment horizontal="center" vertical="center"/>
    </xf>
    <xf numFmtId="0" fontId="0" fillId="0" borderId="53" xfId="0" applyBorder="1" applyAlignment="1">
      <alignment horizontal="center" vertical="center" shrinkToFit="1"/>
    </xf>
    <xf numFmtId="0" fontId="0" fillId="0" borderId="30" xfId="0" applyBorder="1" applyAlignment="1">
      <alignment horizontal="center" vertical="center" shrinkToFit="1"/>
    </xf>
    <xf numFmtId="0" fontId="0" fillId="0" borderId="55" xfId="0" applyBorder="1" applyAlignment="1">
      <alignment vertical="center" shrinkToFit="1"/>
    </xf>
    <xf numFmtId="0" fontId="0" fillId="14" borderId="55" xfId="0" applyFill="1" applyBorder="1" applyAlignment="1">
      <alignment vertical="center" shrinkToFit="1"/>
    </xf>
    <xf numFmtId="0" fontId="0" fillId="14" borderId="37" xfId="0" applyFill="1" applyBorder="1" applyAlignment="1">
      <alignment vertical="center" shrinkToFit="1"/>
    </xf>
    <xf numFmtId="0" fontId="0" fillId="0" borderId="30" xfId="0" applyBorder="1" applyAlignment="1">
      <alignment vertical="center" shrinkToFit="1"/>
    </xf>
    <xf numFmtId="0" fontId="0" fillId="0" borderId="53" xfId="0" applyBorder="1" applyAlignment="1">
      <alignment vertical="center" shrinkToFit="1"/>
    </xf>
    <xf numFmtId="0" fontId="0" fillId="0" borderId="66" xfId="0" applyBorder="1" applyAlignment="1">
      <alignment vertical="center" shrinkToFit="1"/>
    </xf>
    <xf numFmtId="0" fontId="0" fillId="14" borderId="74" xfId="0" applyFill="1" applyBorder="1" applyAlignment="1">
      <alignment vertical="center" shrinkToFit="1"/>
    </xf>
    <xf numFmtId="0" fontId="0" fillId="14" borderId="79" xfId="0" applyFill="1" applyBorder="1" applyAlignment="1">
      <alignment horizontal="center" vertical="center" shrinkToFit="1"/>
    </xf>
    <xf numFmtId="0" fontId="0" fillId="14" borderId="87" xfId="0" applyFill="1" applyBorder="1" applyAlignment="1">
      <alignment horizontal="center" vertical="center" shrinkToFit="1"/>
    </xf>
    <xf numFmtId="0" fontId="0" fillId="0" borderId="37" xfId="0" applyBorder="1" applyAlignment="1">
      <alignment vertical="center" shrinkToFit="1"/>
    </xf>
    <xf numFmtId="0" fontId="0" fillId="0" borderId="101" xfId="0" applyBorder="1" applyAlignment="1">
      <alignment vertical="center" shrinkToFit="1"/>
    </xf>
    <xf numFmtId="0" fontId="2" fillId="15" borderId="60" xfId="0" applyFont="1" applyFill="1" applyBorder="1" applyAlignment="1" applyProtection="1">
      <alignment horizontal="center" vertical="center" shrinkToFit="1"/>
      <protection hidden="1"/>
    </xf>
    <xf numFmtId="0" fontId="2" fillId="7" borderId="11" xfId="0" applyFont="1" applyFill="1" applyBorder="1" applyAlignment="1" applyProtection="1">
      <alignment vertical="center" wrapText="1"/>
      <protection hidden="1"/>
    </xf>
    <xf numFmtId="0" fontId="0" fillId="7" borderId="11" xfId="0" applyFill="1" applyBorder="1" applyAlignment="1" applyProtection="1">
      <alignment vertical="center"/>
      <protection hidden="1"/>
    </xf>
    <xf numFmtId="3" fontId="2" fillId="7" borderId="11" xfId="0" applyNumberFormat="1" applyFont="1" applyFill="1" applyBorder="1" applyAlignment="1" applyProtection="1">
      <alignment vertical="center"/>
      <protection hidden="1"/>
    </xf>
    <xf numFmtId="0" fontId="0" fillId="0" borderId="94" xfId="0" applyBorder="1" applyAlignment="1">
      <alignment vertical="center" shrinkToFit="1"/>
    </xf>
    <xf numFmtId="0" fontId="30" fillId="0" borderId="11" xfId="0" applyFont="1" applyBorder="1" applyAlignment="1" applyProtection="1">
      <alignment vertical="center" textRotation="255"/>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30" fillId="0" borderId="115" xfId="0" applyFont="1" applyBorder="1" applyAlignment="1" applyProtection="1">
      <alignment vertical="center"/>
    </xf>
    <xf numFmtId="0" fontId="0" fillId="0" borderId="116" xfId="0" applyBorder="1" applyAlignment="1" applyProtection="1">
      <alignment vertical="center"/>
    </xf>
    <xf numFmtId="0" fontId="2" fillId="0" borderId="11" xfId="0" applyFont="1" applyBorder="1" applyAlignment="1" applyProtection="1">
      <alignment vertical="center"/>
    </xf>
    <xf numFmtId="0" fontId="2" fillId="0" borderId="22" xfId="0" applyFont="1" applyBorder="1" applyAlignment="1" applyProtection="1">
      <alignment vertical="center"/>
    </xf>
    <xf numFmtId="0" fontId="2" fillId="0" borderId="89" xfId="0" applyFont="1" applyBorder="1" applyAlignment="1" applyProtection="1">
      <alignment vertical="center"/>
    </xf>
    <xf numFmtId="0" fontId="0" fillId="0" borderId="43" xfId="0" applyBorder="1" applyAlignment="1">
      <alignment vertical="center"/>
    </xf>
    <xf numFmtId="0" fontId="0" fillId="0" borderId="89" xfId="0" applyBorder="1" applyAlignment="1">
      <alignment vertical="center"/>
    </xf>
    <xf numFmtId="0" fontId="2" fillId="0" borderId="11" xfId="0" applyFont="1" applyBorder="1" applyAlignment="1" applyProtection="1">
      <alignment vertical="center" wrapText="1"/>
    </xf>
    <xf numFmtId="0" fontId="0" fillId="0" borderId="11" xfId="0" applyBorder="1" applyAlignment="1" applyProtection="1">
      <alignment vertical="center"/>
    </xf>
  </cellXfs>
  <cellStyles count="2">
    <cellStyle name="桁区切り" xfId="1" builtinId="6"/>
    <cellStyle name="標準" xfId="0" builtinId="0"/>
  </cellStyles>
  <dxfs count="104">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fill>
        <patternFill patternType="solid">
          <bgColor rgb="FF9999FF"/>
        </patternFill>
      </fill>
    </dxf>
    <dxf>
      <font>
        <color rgb="FFFF0000"/>
      </font>
      <fill>
        <patternFill patternType="solid">
          <bgColor rgb="FF9999FF"/>
        </patternFill>
      </fill>
    </dxf>
    <dxf>
      <font>
        <color rgb="FFFF0000"/>
      </font>
      <fill>
        <patternFill patternType="solid">
          <bgColor rgb="FF9999FF"/>
        </patternFill>
      </fill>
    </dxf>
    <dxf>
      <font>
        <color rgb="FFFF0000"/>
      </font>
      <fill>
        <patternFill patternType="solid">
          <bgColor rgb="FF9999FF"/>
        </patternFill>
      </fill>
    </dxf>
    <dxf>
      <font>
        <color rgb="FFFF0000"/>
      </font>
      <fill>
        <patternFill patternType="solid">
          <bgColor rgb="FF9999FF"/>
        </patternFill>
      </fill>
    </dxf>
    <dxf>
      <font>
        <color rgb="FFFF0000"/>
      </font>
      <fill>
        <patternFill patternType="solid">
          <bgColor rgb="FF9999FF"/>
        </patternFill>
      </fill>
    </dxf>
    <dxf>
      <font>
        <color rgb="FFFF0000"/>
      </font>
      <fill>
        <patternFill patternType="solid">
          <bgColor rgb="FF9999FF"/>
        </patternFill>
      </fill>
    </dxf>
    <dxf>
      <font>
        <color rgb="FFFF0000"/>
      </font>
      <fill>
        <patternFill patternType="solid">
          <bgColor rgb="FF9999FF"/>
        </patternFill>
      </fill>
    </dxf>
    <dxf>
      <font>
        <color rgb="FFFF0000"/>
      </font>
      <fill>
        <patternFill patternType="solid">
          <bgColor rgb="FF9999FF"/>
        </patternFill>
      </fill>
    </dxf>
    <dxf>
      <font>
        <color rgb="FFFF0000"/>
      </font>
      <fill>
        <patternFill patternType="solid">
          <bgColor rgb="FF9999FF"/>
        </patternFill>
      </fill>
    </dxf>
    <dxf>
      <font>
        <color rgb="FFFF0000"/>
      </font>
      <fill>
        <patternFill patternType="solid">
          <bgColor rgb="FF9999FF"/>
        </patternFill>
      </fill>
    </dxf>
    <dxf>
      <font>
        <color rgb="FFFF0000"/>
      </font>
      <fill>
        <patternFill patternType="solid">
          <bgColor rgb="FF9999FF"/>
        </patternFill>
      </fill>
    </dxf>
    <dxf>
      <font>
        <color rgb="FFFF0000"/>
      </font>
      <fill>
        <patternFill patternType="solid">
          <bgColor rgb="FF9999FF"/>
        </patternFill>
      </fill>
    </dxf>
    <dxf>
      <font>
        <color rgb="FFFF0000"/>
      </font>
      <fill>
        <patternFill patternType="solid">
          <bgColor rgb="FF9999FF"/>
        </patternFill>
      </fill>
    </dxf>
    <dxf>
      <font>
        <color theme="0"/>
      </font>
    </dxf>
    <dxf>
      <font>
        <color rgb="FFFF0000"/>
      </font>
      <fill>
        <patternFill patternType="solid">
          <bgColor rgb="FF9999FF"/>
        </patternFill>
      </fill>
    </dxf>
    <dxf>
      <font>
        <color theme="0"/>
      </font>
    </dxf>
    <dxf>
      <font>
        <color rgb="FFFF0000"/>
      </font>
      <fill>
        <patternFill patternType="solid">
          <bgColor rgb="FF9999FF"/>
        </patternFill>
      </fill>
    </dxf>
    <dxf>
      <font>
        <color theme="0"/>
      </font>
    </dxf>
    <dxf>
      <font>
        <color rgb="FFFF0000"/>
      </font>
      <fill>
        <patternFill patternType="solid">
          <bgColor rgb="FF9999FF"/>
        </patternFill>
      </fill>
    </dxf>
    <dxf>
      <font>
        <color rgb="FFFF0000"/>
      </font>
      <fill>
        <patternFill patternType="solid">
          <bgColor rgb="FF9999FF"/>
        </patternFill>
      </fill>
    </dxf>
    <dxf>
      <font>
        <color indexed="10"/>
      </font>
      <fill>
        <patternFill patternType="solid">
          <bgColor indexed="24"/>
        </patternFill>
      </fill>
    </dxf>
    <dxf>
      <font>
        <color rgb="FFFF0000"/>
      </font>
      <fill>
        <patternFill patternType="solid">
          <bgColor rgb="FF9999FF"/>
        </patternFill>
      </fill>
    </dxf>
    <dxf>
      <font>
        <color rgb="FFFF0000"/>
      </font>
      <fill>
        <patternFill patternType="solid">
          <bgColor rgb="FF9999FF"/>
        </patternFill>
      </fill>
    </dxf>
    <dxf>
      <font>
        <color indexed="10"/>
      </font>
      <fill>
        <patternFill patternType="solid">
          <bgColor indexed="24"/>
        </patternFill>
      </fill>
    </dxf>
    <dxf>
      <font>
        <color rgb="FFFF0000"/>
      </font>
      <fill>
        <patternFill patternType="solid">
          <bgColor rgb="FF9999FF"/>
        </patternFill>
      </fill>
    </dxf>
    <dxf>
      <font>
        <color rgb="FFFF0000"/>
      </font>
      <fill>
        <patternFill patternType="solid">
          <bgColor rgb="FF9999FF"/>
        </patternFill>
      </fill>
    </dxf>
    <dxf>
      <font>
        <color indexed="10"/>
      </font>
      <fill>
        <patternFill patternType="solid">
          <bgColor indexed="24"/>
        </patternFill>
      </fill>
    </dxf>
    <dxf>
      <font>
        <color rgb="FFFF0000"/>
      </font>
      <fill>
        <patternFill patternType="solid">
          <bgColor rgb="FF9999FF"/>
        </patternFill>
      </fill>
    </dxf>
    <dxf>
      <font>
        <color rgb="FFFF0000"/>
      </font>
      <fill>
        <patternFill patternType="solid">
          <bgColor rgb="FF9999FF"/>
        </patternFill>
      </fill>
    </dxf>
    <dxf>
      <font>
        <color indexed="10"/>
      </font>
      <fill>
        <patternFill patternType="solid">
          <bgColor indexed="24"/>
        </patternFill>
      </fill>
    </dxf>
    <dxf>
      <font>
        <color indexed="10"/>
      </font>
      <fill>
        <patternFill patternType="solid">
          <bgColor indexed="24"/>
        </patternFill>
      </fill>
    </dxf>
    <dxf>
      <font>
        <color indexed="10"/>
      </font>
      <fill>
        <patternFill patternType="solid">
          <bgColor indexed="24"/>
        </patternFill>
      </fill>
    </dxf>
    <dxf>
      <font>
        <b/>
        <i val="0"/>
        <color theme="0"/>
      </font>
      <fill>
        <patternFill patternType="solid">
          <bgColor rgb="FFFF0000"/>
        </patternFill>
      </fill>
    </dxf>
    <dxf>
      <fill>
        <patternFill patternType="solid">
          <bgColor rgb="FFFFFF00"/>
        </patternFill>
      </fill>
    </dxf>
    <dxf>
      <font>
        <color theme="0"/>
      </font>
      <fill>
        <patternFill patternType="solid">
          <bgColor rgb="FFFF00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66FF33"/>
        </patternFill>
      </fill>
    </dxf>
    <dxf>
      <fill>
        <patternFill patternType="solid">
          <bgColor rgb="FFFFCCFF"/>
        </patternFill>
      </fill>
    </dxf>
    <dxf>
      <fill>
        <patternFill patternType="solid">
          <bgColor rgb="FFFFCCFF"/>
        </patternFill>
      </fill>
    </dxf>
    <dxf>
      <fill>
        <patternFill patternType="solid">
          <bgColor rgb="FF66FF33"/>
        </patternFill>
      </fill>
    </dxf>
    <dxf>
      <fill>
        <patternFill patternType="solid">
          <bgColor rgb="FFFFCCFF"/>
        </patternFill>
      </fill>
    </dxf>
    <dxf>
      <fill>
        <patternFill patternType="solid">
          <bgColor rgb="FF66FF33"/>
        </patternFill>
      </fill>
    </dxf>
    <dxf>
      <fill>
        <patternFill patternType="solid">
          <bgColor rgb="FFFFCCFF"/>
        </patternFill>
      </fill>
    </dxf>
    <dxf>
      <fill>
        <patternFill patternType="solid">
          <bgColor rgb="FF66FF33"/>
        </patternFill>
      </fill>
    </dxf>
    <dxf>
      <fill>
        <patternFill patternType="solid">
          <bgColor rgb="FFFFCCFF"/>
        </patternFill>
      </fill>
    </dxf>
    <dxf>
      <fill>
        <patternFill patternType="solid">
          <bgColor rgb="FF66FF33"/>
        </patternFill>
      </fill>
    </dxf>
    <dxf>
      <fill>
        <patternFill patternType="solid">
          <bgColor rgb="FFFFCCFF"/>
        </patternFill>
      </fill>
    </dxf>
    <dxf>
      <fill>
        <patternFill patternType="solid">
          <bgColor rgb="FF66FF33"/>
        </patternFill>
      </fill>
    </dxf>
    <dxf>
      <fill>
        <patternFill patternType="solid">
          <bgColor rgb="FFFFCCFF"/>
        </patternFill>
      </fill>
    </dxf>
    <dxf>
      <fill>
        <patternFill patternType="solid">
          <bgColor rgb="FF66FF33"/>
        </patternFill>
      </fill>
    </dxf>
    <dxf>
      <fill>
        <patternFill patternType="solid">
          <bgColor rgb="FF66FF33"/>
        </patternFill>
      </fill>
    </dxf>
    <dxf>
      <fill>
        <patternFill patternType="solid">
          <bgColor rgb="FF66FF33"/>
        </patternFill>
      </fill>
    </dxf>
    <dxf>
      <fill>
        <patternFill patternType="solid">
          <bgColor rgb="FFFFCCFF"/>
        </patternFill>
      </fill>
    </dxf>
    <dxf>
      <font>
        <color indexed="9"/>
      </font>
      <fill>
        <patternFill patternType="solid">
          <bgColor indexed="10"/>
        </patternFill>
      </fill>
    </dxf>
    <dxf>
      <fill>
        <patternFill patternType="solid">
          <bgColor rgb="FF66FF33"/>
        </patternFill>
      </fill>
    </dxf>
    <dxf>
      <font>
        <color rgb="FFFF0000"/>
      </font>
      <fill>
        <patternFill patternType="solid">
          <bgColor rgb="FF66FF33"/>
        </patternFill>
      </fill>
    </dxf>
    <dxf>
      <font>
        <color rgb="FFFF0000"/>
      </font>
      <fill>
        <patternFill patternType="solid">
          <bgColor rgb="FF66FF33"/>
        </patternFill>
      </fill>
    </dxf>
    <dxf>
      <fill>
        <patternFill patternType="solid">
          <bgColor rgb="FF66FF33"/>
        </patternFill>
      </fill>
    </dxf>
    <dxf>
      <font>
        <color rgb="FFFF0000"/>
      </font>
      <fill>
        <patternFill patternType="solid">
          <bgColor rgb="FF66FF33"/>
        </patternFill>
      </fill>
    </dxf>
    <dxf>
      <fill>
        <patternFill patternType="solid">
          <bgColor rgb="FF66FF33"/>
        </patternFill>
      </fill>
    </dxf>
    <dxf>
      <font>
        <color rgb="FFFF0000"/>
      </font>
      <fill>
        <patternFill patternType="solid">
          <bgColor rgb="FF66FF33"/>
        </patternFill>
      </fill>
    </dxf>
    <dxf>
      <fill>
        <patternFill patternType="solid">
          <bgColor rgb="FF66FF33"/>
        </patternFill>
      </fill>
    </dxf>
    <dxf>
      <font>
        <color rgb="FFFF0000"/>
      </font>
      <fill>
        <patternFill patternType="solid">
          <bgColor rgb="FF66FF33"/>
        </patternFill>
      </fill>
    </dxf>
    <dxf>
      <fill>
        <patternFill patternType="solid">
          <bgColor rgb="FF66FF33"/>
        </patternFill>
      </fill>
    </dxf>
    <dxf>
      <font>
        <color rgb="FFFF0000"/>
      </font>
      <fill>
        <patternFill patternType="solid">
          <bgColor rgb="FF66FF33"/>
        </patternFill>
      </fill>
    </dxf>
    <dxf>
      <fill>
        <patternFill patternType="solid">
          <bgColor rgb="FF66FF33"/>
        </patternFill>
      </fill>
    </dxf>
    <dxf>
      <font>
        <color rgb="FFFF0000"/>
      </font>
      <fill>
        <patternFill patternType="solid">
          <bgColor rgb="FF66FF33"/>
        </patternFill>
      </fill>
    </dxf>
    <dxf>
      <fill>
        <patternFill patternType="solid">
          <bgColor rgb="FF66FF33"/>
        </patternFill>
      </fill>
    </dxf>
    <dxf>
      <fill>
        <patternFill patternType="solid">
          <bgColor rgb="FF66FF33"/>
        </patternFill>
      </fill>
    </dxf>
    <dxf>
      <font>
        <color rgb="FFFF0000"/>
      </font>
      <fill>
        <patternFill patternType="solid">
          <bgColor rgb="FF66FF33"/>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theme="0"/>
      </font>
      <fill>
        <patternFill patternType="none">
          <bgColor indexed="65"/>
        </patternFill>
      </fill>
    </dxf>
    <dxf>
      <font>
        <color rgb="FFFF0000"/>
      </font>
      <fill>
        <patternFill patternType="solid">
          <bgColor rgb="FFFFFF00"/>
        </patternFill>
      </fill>
    </dxf>
    <dxf>
      <fill>
        <patternFill patternType="solid">
          <bgColor rgb="FF66FF33"/>
        </patternFill>
      </fill>
    </dxf>
    <dxf>
      <font>
        <b/>
        <i val="0"/>
        <color theme="0"/>
      </font>
      <fill>
        <patternFill patternType="solid">
          <bgColor rgb="FFFF0000"/>
        </patternFill>
      </fill>
    </dxf>
  </dxfs>
  <tableStyles count="0" defaultTableStyle="TableStyleMedium2" defaultPivotStyle="PivotStyleLight16"/>
  <colors>
    <mruColors>
      <color rgb="FF99FF99"/>
      <color rgb="FF3333FF"/>
      <color rgb="FF9999FF"/>
      <color rgb="FF66FF33"/>
      <color rgb="FFCC3399"/>
      <color rgb="FFFF9900"/>
      <color rgb="FFCCFFFF"/>
      <color rgb="FFFFFFCC"/>
      <color rgb="FFFFCC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133350</xdr:colOff>
      <xdr:row>11</xdr:row>
      <xdr:rowOff>448310</xdr:rowOff>
    </xdr:from>
    <xdr:to>
      <xdr:col>32</xdr:col>
      <xdr:colOff>161925</xdr:colOff>
      <xdr:row>13</xdr:row>
      <xdr:rowOff>104775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87300" y="2141855"/>
          <a:ext cx="2600325" cy="3594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900" baseline="0">
              <a:latin typeface="ＭＳ ゴシック"/>
              <a:ea typeface="ＭＳ ゴシック"/>
            </a:rPr>
            <a:t>  </a:t>
          </a:r>
          <a:r>
            <a:rPr kumimoji="1" lang="ja-JP" altLang="en-US" sz="900">
              <a:latin typeface="ＭＳ ゴシック"/>
              <a:ea typeface="ＭＳ ゴシック"/>
            </a:rPr>
            <a:t>上段●：医療･後期･子ども 、下段■：介護</a:t>
          </a:r>
          <a:br>
            <a:rPr kumimoji="1" lang="en-US" altLang="ja-JP" sz="900">
              <a:latin typeface="ＭＳ ゴシック"/>
              <a:ea typeface="ＭＳ ゴシック"/>
            </a:rPr>
          </a:br>
          <a:r>
            <a:rPr kumimoji="1" lang="ja-JP" altLang="en-US" sz="900">
              <a:latin typeface="ＭＳ ゴシック"/>
              <a:ea typeface="ＭＳ ゴシック"/>
            </a:rPr>
            <a:t>　上段</a:t>
          </a:r>
          <a:r>
            <a:rPr kumimoji="1" lang="ja-JP" altLang="en-US" sz="900">
              <a:solidFill>
                <a:schemeClr val="dk1"/>
              </a:solidFill>
              <a:effectLst/>
              <a:latin typeface="ＭＳ ゴシック"/>
              <a:ea typeface="ＭＳ ゴシック"/>
              <a:cs typeface="+mn-cs"/>
            </a:rPr>
            <a:t>▲</a:t>
          </a:r>
          <a:r>
            <a:rPr kumimoji="1" lang="ja-JP" altLang="ja-JP" sz="900">
              <a:solidFill>
                <a:schemeClr val="dk1"/>
              </a:solidFill>
              <a:effectLst/>
              <a:latin typeface="ＭＳ ゴシック"/>
              <a:ea typeface="ＭＳ ゴシック"/>
              <a:cs typeface="+mn-cs"/>
            </a:rPr>
            <a:t>：医療･後期</a:t>
          </a:r>
          <a:r>
            <a:rPr kumimoji="1" lang="ja-JP" altLang="en-US" sz="900">
              <a:solidFill>
                <a:schemeClr val="dk1"/>
              </a:solidFill>
              <a:effectLst/>
              <a:latin typeface="ＭＳ ゴシック"/>
              <a:ea typeface="ＭＳ ゴシック"/>
              <a:cs typeface="+mn-cs"/>
            </a:rPr>
            <a:t>･</a:t>
          </a:r>
          <a:r>
            <a:rPr kumimoji="1" lang="ja-JP" altLang="en-US" sz="900" b="1" u="sng">
              <a:solidFill>
                <a:srgbClr val="3333FF"/>
              </a:solidFill>
              <a:effectLst/>
              <a:latin typeface="ＭＳ ゴシック"/>
              <a:ea typeface="ＭＳ ゴシック"/>
              <a:cs typeface="+mn-cs"/>
            </a:rPr>
            <a:t>子ども（均等割なし）</a:t>
          </a:r>
          <a:endParaRPr kumimoji="1" lang="en-US" altLang="ja-JP" sz="900" b="1" u="sng">
            <a:solidFill>
              <a:srgbClr val="3333FF"/>
            </a:solidFill>
            <a:effectLst/>
            <a:latin typeface="ＭＳ ゴシック"/>
            <a:ea typeface="ＭＳ ゴシック"/>
            <a:cs typeface="+mn-cs"/>
          </a:endParaRPr>
        </a:p>
        <a:p>
          <a:endParaRPr kumimoji="1" lang="ja-JP" altLang="en-US" sz="900">
            <a:latin typeface="ＭＳ ゴシック"/>
            <a:ea typeface="ＭＳ ゴシック"/>
          </a:endParaRPr>
        </a:p>
      </xdr:txBody>
    </xdr:sp>
    <xdr:clientData/>
  </xdr:twoCellAnchor>
  <mc:AlternateContent xmlns:mc="http://schemas.openxmlformats.org/markup-compatibility/2006">
    <mc:Choice xmlns:a14="http://schemas.microsoft.com/office/drawing/2010/main" Requires="a14">
      <xdr:twoCellAnchor>
        <xdr:from>
          <xdr:col>1</xdr:col>
          <xdr:colOff>152400</xdr:colOff>
          <xdr:row>27</xdr:row>
          <xdr:rowOff>28575</xdr:rowOff>
        </xdr:from>
        <xdr:to>
          <xdr:col>2</xdr:col>
          <xdr:colOff>390525</xdr:colOff>
          <xdr:row>29</xdr:row>
          <xdr:rowOff>104775</xdr:rowOff>
        </xdr:to>
        <xdr:sp macro="" textlink="">
          <xdr:nvSpPr>
            <xdr:cNvPr id="1031" name="ボタン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333399"/>
                  </a:solidFill>
                  <a:latin typeface="ＭＳ Ｐゴシック"/>
                  <a:ea typeface="ＭＳ Ｐゴシック"/>
                </a:rPr>
                <a:t>入力データ</a:t>
              </a:r>
            </a:p>
            <a:p>
              <a:pPr algn="ctr" rtl="0">
                <a:defRPr sz="1000"/>
              </a:pPr>
              <a:r>
                <a:rPr lang="ja-JP" altLang="en-US" sz="1100" b="0" i="0" u="none" strike="noStrike" baseline="0">
                  <a:solidFill>
                    <a:srgbClr val="333399"/>
                  </a:solidFill>
                  <a:latin typeface="ＭＳ Ｐゴシック"/>
                  <a:ea typeface="ＭＳ Ｐゴシック"/>
                </a:rPr>
                <a:t>消　　去</a:t>
              </a:r>
            </a:p>
          </xdr:txBody>
        </xdr:sp>
        <xdr:clientData fPrintsWithSheet="0"/>
      </xdr:twoCellAnchor>
    </mc:Choice>
    <mc:Fallback/>
  </mc:AlternateContent>
  <xdr:twoCellAnchor>
    <xdr:from>
      <xdr:col>1</xdr:col>
      <xdr:colOff>200025</xdr:colOff>
      <xdr:row>30</xdr:row>
      <xdr:rowOff>106680</xdr:rowOff>
    </xdr:from>
    <xdr:to>
      <xdr:col>3</xdr:col>
      <xdr:colOff>85725</xdr:colOff>
      <xdr:row>33</xdr:row>
      <xdr:rowOff>179705</xdr:rowOff>
    </xdr:to>
    <xdr:sp macro="" textlink="">
      <xdr:nvSpPr>
        <xdr:cNvPr id="1034" name="AutoShape 10">
          <a:extLst>
            <a:ext uri="{FF2B5EF4-FFF2-40B4-BE49-F238E27FC236}">
              <a16:creationId xmlns:a16="http://schemas.microsoft.com/office/drawing/2014/main" id="{00000000-0008-0000-0000-00000A040000}"/>
            </a:ext>
          </a:extLst>
        </xdr:cNvPr>
        <xdr:cNvSpPr>
          <a:spLocks noChangeArrowheads="1"/>
        </xdr:cNvSpPr>
      </xdr:nvSpPr>
      <xdr:spPr>
        <a:xfrm>
          <a:off x="476250" y="6523355"/>
          <a:ext cx="1428750" cy="473075"/>
        </a:xfrm>
        <a:prstGeom prst="wedgeRoundRectCallout">
          <a:avLst>
            <a:gd name="adj1" fmla="val 112312"/>
            <a:gd name="adj2" fmla="val -364639"/>
            <a:gd name="adj3" fmla="val 16667"/>
          </a:avLst>
        </a:prstGeom>
        <a:solidFill>
          <a:srgbClr xmlns:mc="http://schemas.openxmlformats.org/markup-compatibility/2006" xmlns:a14="http://schemas.microsoft.com/office/drawing/2010/main" val="99CCFF" mc:Ignorable="a14" a14:legacySpreadsheetColorIndex="44">
            <a:alpha val="50000"/>
          </a:srgbClr>
        </a:solidFill>
        <a:ln w="9525">
          <a:solidFill>
            <a:srgbClr xmlns:mc="http://schemas.openxmlformats.org/markup-compatibility/2006" xmlns:a14="http://schemas.microsoft.com/office/drawing/2010/main" val="FF00FF" mc:Ignorable="a14" a14:legacySpreadsheetColorIndex="14"/>
          </a:solidFill>
          <a:miter lim="800000"/>
          <a:headEnd/>
          <a:tailEnd/>
        </a:ln>
        <a:effectLst/>
      </xdr:spPr>
      <xdr:txBody>
        <a:bodyPr vertOverflow="clip" horzOverflow="overflow" wrap="square" lIns="0" tIns="0" rIns="0" bIns="0" anchor="t" upright="1"/>
        <a:lstStyle/>
        <a:p>
          <a:pPr algn="l" rtl="0">
            <a:lnSpc>
              <a:spcPts val="1100"/>
            </a:lnSpc>
            <a:defRPr sz="1000"/>
          </a:pPr>
          <a:r>
            <a:rPr lang="ja-JP" altLang="en-US" sz="900" b="1" i="0" u="none" strike="noStrike" baseline="0">
              <a:solidFill>
                <a:srgbClr val="FF0000"/>
              </a:solidFill>
              <a:latin typeface="ＭＳ ゴシック"/>
              <a:ea typeface="ＭＳ ゴシック"/>
            </a:rPr>
            <a:t>収入などがなくても</a:t>
          </a:r>
          <a:r>
            <a:rPr lang="ja-JP" altLang="en-US" sz="900" b="1" i="0" u="sng" strike="noStrike" baseline="0">
              <a:solidFill>
                <a:srgbClr val="0000FF"/>
              </a:solidFill>
              <a:latin typeface="ＭＳ ゴシック"/>
              <a:ea typeface="ＭＳ ゴシック"/>
            </a:rPr>
            <a:t>加入する全員</a:t>
          </a:r>
          <a:r>
            <a:rPr lang="ja-JP" altLang="en-US" sz="900" b="1" i="0" u="none" strike="noStrike" baseline="0">
              <a:solidFill>
                <a:srgbClr val="FF0000"/>
              </a:solidFill>
              <a:latin typeface="ＭＳ ゴシック"/>
              <a:ea typeface="ＭＳ ゴシック"/>
            </a:rPr>
            <a:t>の生年月日を入力してください。</a:t>
          </a:r>
        </a:p>
      </xdr:txBody>
    </xdr:sp>
    <xdr:clientData fPrintsWithSheet="0"/>
  </xdr:twoCellAnchor>
  <mc:AlternateContent xmlns:mc="http://schemas.openxmlformats.org/markup-compatibility/2006">
    <mc:Choice xmlns:a14="http://schemas.microsoft.com/office/drawing/2010/main" Requires="a14">
      <xdr:twoCellAnchor>
        <xdr:from>
          <xdr:col>16</xdr:col>
          <xdr:colOff>152400</xdr:colOff>
          <xdr:row>26</xdr:row>
          <xdr:rowOff>66675</xdr:rowOff>
        </xdr:from>
        <xdr:to>
          <xdr:col>20</xdr:col>
          <xdr:colOff>142875</xdr:colOff>
          <xdr:row>28</xdr:row>
          <xdr:rowOff>123825</xdr:rowOff>
        </xdr:to>
        <xdr:sp macro="" textlink="">
          <xdr:nvSpPr>
            <xdr:cNvPr id="1082" name="ボタン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0000"/>
                  </a:solidFill>
                  <a:latin typeface="ＭＳ Ｐゴシック"/>
                  <a:ea typeface="ＭＳ Ｐゴシック"/>
                </a:rPr>
                <a:t>強制軽減適用</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142875</xdr:colOff>
          <xdr:row>26</xdr:row>
          <xdr:rowOff>57150</xdr:rowOff>
        </xdr:from>
        <xdr:to>
          <xdr:col>30</xdr:col>
          <xdr:colOff>28575</xdr:colOff>
          <xdr:row>28</xdr:row>
          <xdr:rowOff>114300</xdr:rowOff>
        </xdr:to>
        <xdr:sp macro="" textlink="">
          <xdr:nvSpPr>
            <xdr:cNvPr id="1091" name="ボタン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FF"/>
                  </a:solidFill>
                  <a:latin typeface="ＭＳ Ｐゴシック"/>
                  <a:ea typeface="ＭＳ Ｐゴシック"/>
                </a:rPr>
                <a:t>試算内訳印刷</a:t>
              </a:r>
            </a:p>
            <a:p>
              <a:pPr algn="ctr" rtl="0">
                <a:defRPr sz="1000"/>
              </a:pPr>
              <a:r>
                <a:rPr lang="ja-JP" altLang="en-US" sz="1100" b="0" i="0" u="none" strike="noStrike" baseline="0">
                  <a:solidFill>
                    <a:srgbClr val="0000FF"/>
                  </a:solidFill>
                  <a:latin typeface="ＭＳ Ｐゴシック"/>
                  <a:ea typeface="ＭＳ Ｐゴシック"/>
                </a:rPr>
                <a:t>（A3）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152400</xdr:colOff>
          <xdr:row>29</xdr:row>
          <xdr:rowOff>114300</xdr:rowOff>
        </xdr:from>
        <xdr:to>
          <xdr:col>30</xdr:col>
          <xdr:colOff>38100</xdr:colOff>
          <xdr:row>33</xdr:row>
          <xdr:rowOff>142875</xdr:rowOff>
        </xdr:to>
        <xdr:sp macro="" textlink="">
          <xdr:nvSpPr>
            <xdr:cNvPr id="1101" name="ボタン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9900"/>
                  </a:solidFill>
                  <a:latin typeface="ＭＳ Ｐゴシック"/>
                  <a:ea typeface="ＭＳ Ｐゴシック"/>
                </a:rPr>
                <a:t>試算内訳印刷</a:t>
              </a:r>
            </a:p>
            <a:p>
              <a:pPr algn="ctr" rtl="0">
                <a:defRPr sz="1000"/>
              </a:pPr>
              <a:r>
                <a:rPr lang="ja-JP" altLang="en-US" sz="1100" b="0" i="0" u="none" strike="noStrike" baseline="0">
                  <a:solidFill>
                    <a:srgbClr val="FF9900"/>
                  </a:solidFill>
                  <a:latin typeface="ＭＳ Ｐゴシック"/>
                  <a:ea typeface="ＭＳ Ｐゴシック"/>
                </a:rPr>
                <a:t>（A４）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381000</xdr:colOff>
          <xdr:row>12</xdr:row>
          <xdr:rowOff>104775</xdr:rowOff>
        </xdr:from>
        <xdr:to>
          <xdr:col>2</xdr:col>
          <xdr:colOff>514350</xdr:colOff>
          <xdr:row>14</xdr:row>
          <xdr:rowOff>76200</xdr:rowOff>
        </xdr:to>
        <xdr:sp macro="" textlink="">
          <xdr:nvSpPr>
            <xdr:cNvPr id="1105" name="ボタン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8080"/>
                  </a:solidFill>
                  <a:latin typeface="ＭＳ Ｐゴシック"/>
                  <a:ea typeface="ＭＳ Ｐゴシック"/>
                </a:rPr>
                <a:t>年齢区分表示</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14</xdr:row>
          <xdr:rowOff>133350</xdr:rowOff>
        </xdr:from>
        <xdr:to>
          <xdr:col>2</xdr:col>
          <xdr:colOff>495300</xdr:colOff>
          <xdr:row>14</xdr:row>
          <xdr:rowOff>333375</xdr:rowOff>
        </xdr:to>
        <xdr:sp macro="" textlink="">
          <xdr:nvSpPr>
            <xdr:cNvPr id="1109" name="ボタン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00FF"/>
                  </a:solidFill>
                  <a:latin typeface="ＭＳ Ｐゴシック"/>
                  <a:ea typeface="ＭＳ Ｐゴシック"/>
                </a:rPr>
                <a:t>1/1年齢入力</a:t>
              </a:r>
            </a:p>
          </xdr:txBody>
        </xdr:sp>
        <xdr:clientData fPrintsWithSheet="0"/>
      </xdr:twoCellAnchor>
    </mc:Choice>
    <mc:Fallback/>
  </mc:AlternateContent>
  <xdr:twoCellAnchor>
    <xdr:from>
      <xdr:col>20</xdr:col>
      <xdr:colOff>180975</xdr:colOff>
      <xdr:row>11</xdr:row>
      <xdr:rowOff>438150</xdr:rowOff>
    </xdr:from>
    <xdr:to>
      <xdr:col>32</xdr:col>
      <xdr:colOff>47625</xdr:colOff>
      <xdr:row>13</xdr:row>
      <xdr:rowOff>47625</xdr:rowOff>
    </xdr:to>
    <xdr:sp macro="" textlink="">
      <xdr:nvSpPr>
        <xdr:cNvPr id="3" name="中かっこ 2">
          <a:extLst>
            <a:ext uri="{FF2B5EF4-FFF2-40B4-BE49-F238E27FC236}">
              <a16:creationId xmlns:a16="http://schemas.microsoft.com/office/drawing/2014/main" id="{00000000-0008-0000-0000-000003000000}"/>
            </a:ext>
          </a:extLst>
        </xdr:cNvPr>
        <xdr:cNvSpPr/>
      </xdr:nvSpPr>
      <xdr:spPr>
        <a:xfrm>
          <a:off x="12734925" y="2131695"/>
          <a:ext cx="2438400" cy="312420"/>
        </a:xfrm>
        <a:prstGeom prst="brace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629920</xdr:colOff>
      <xdr:row>23</xdr:row>
      <xdr:rowOff>177165</xdr:rowOff>
    </xdr:from>
    <xdr:to>
      <xdr:col>14</xdr:col>
      <xdr:colOff>267970</xdr:colOff>
      <xdr:row>31</xdr:row>
      <xdr:rowOff>0</xdr:rowOff>
    </xdr:to>
    <xdr:sp macro="" textlink="">
      <xdr:nvSpPr>
        <xdr:cNvPr id="1110" name="四角形 97">
          <a:extLst>
            <a:ext uri="{FF2B5EF4-FFF2-40B4-BE49-F238E27FC236}">
              <a16:creationId xmlns:a16="http://schemas.microsoft.com/office/drawing/2014/main" id="{00000000-0008-0000-0000-000056040000}"/>
            </a:ext>
          </a:extLst>
        </xdr:cNvPr>
        <xdr:cNvSpPr/>
      </xdr:nvSpPr>
      <xdr:spPr>
        <a:xfrm flipV="1">
          <a:off x="5878195" y="5123180"/>
          <a:ext cx="4686300" cy="1483995"/>
        </a:xfrm>
        <a:prstGeom prst="rect">
          <a:avLst/>
        </a:prstGeom>
        <a:solidFill>
          <a:schemeClr val="bg1"/>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0</xdr:col>
      <xdr:colOff>0</xdr:colOff>
      <xdr:row>12</xdr:row>
      <xdr:rowOff>102870</xdr:rowOff>
    </xdr:from>
    <xdr:to>
      <xdr:col>3</xdr:col>
      <xdr:colOff>94615</xdr:colOff>
      <xdr:row>27</xdr:row>
      <xdr:rowOff>20955</xdr:rowOff>
    </xdr:to>
    <xdr:sp macro="" textlink="">
      <xdr:nvSpPr>
        <xdr:cNvPr id="1111" name="四角形 98">
          <a:extLst>
            <a:ext uri="{FF2B5EF4-FFF2-40B4-BE49-F238E27FC236}">
              <a16:creationId xmlns:a16="http://schemas.microsoft.com/office/drawing/2014/main" id="{00000000-0008-0000-0000-000057040000}"/>
            </a:ext>
          </a:extLst>
        </xdr:cNvPr>
        <xdr:cNvSpPr/>
      </xdr:nvSpPr>
      <xdr:spPr>
        <a:xfrm flipV="1">
          <a:off x="0" y="2318385"/>
          <a:ext cx="1913890" cy="3511550"/>
        </a:xfrm>
        <a:prstGeom prst="rect">
          <a:avLst/>
        </a:prstGeom>
        <a:solidFill>
          <a:schemeClr val="bg1"/>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xdr:col>
      <xdr:colOff>27940</xdr:colOff>
      <xdr:row>25</xdr:row>
      <xdr:rowOff>135890</xdr:rowOff>
    </xdr:from>
    <xdr:to>
      <xdr:col>2</xdr:col>
      <xdr:colOff>409575</xdr:colOff>
      <xdr:row>29</xdr:row>
      <xdr:rowOff>146050</xdr:rowOff>
    </xdr:to>
    <xdr:sp macro="" textlink="">
      <xdr:nvSpPr>
        <xdr:cNvPr id="1112" name="四角形 99">
          <a:extLst>
            <a:ext uri="{FF2B5EF4-FFF2-40B4-BE49-F238E27FC236}">
              <a16:creationId xmlns:a16="http://schemas.microsoft.com/office/drawing/2014/main" id="{00000000-0008-0000-0000-000058040000}"/>
            </a:ext>
          </a:extLst>
        </xdr:cNvPr>
        <xdr:cNvSpPr/>
      </xdr:nvSpPr>
      <xdr:spPr>
        <a:xfrm flipV="1">
          <a:off x="304165" y="5539740"/>
          <a:ext cx="1153160" cy="820420"/>
        </a:xfrm>
        <a:prstGeom prst="rect">
          <a:avLst/>
        </a:prstGeom>
        <a:solidFill>
          <a:schemeClr val="bg1"/>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30</xdr:col>
      <xdr:colOff>104140</xdr:colOff>
      <xdr:row>13</xdr:row>
      <xdr:rowOff>86995</xdr:rowOff>
    </xdr:from>
    <xdr:to>
      <xdr:col>32</xdr:col>
      <xdr:colOff>85090</xdr:colOff>
      <xdr:row>23</xdr:row>
      <xdr:rowOff>83820</xdr:rowOff>
    </xdr:to>
    <xdr:sp macro="" textlink="">
      <xdr:nvSpPr>
        <xdr:cNvPr id="1113" name="四角形 100">
          <a:extLst>
            <a:ext uri="{FF2B5EF4-FFF2-40B4-BE49-F238E27FC236}">
              <a16:creationId xmlns:a16="http://schemas.microsoft.com/office/drawing/2014/main" id="{00000000-0008-0000-0000-000059040000}"/>
            </a:ext>
          </a:extLst>
        </xdr:cNvPr>
        <xdr:cNvSpPr/>
      </xdr:nvSpPr>
      <xdr:spPr>
        <a:xfrm>
          <a:off x="14658340" y="2483485"/>
          <a:ext cx="552450" cy="2546350"/>
        </a:xfrm>
        <a:prstGeom prst="rect">
          <a:avLst/>
        </a:prstGeom>
        <a:solidFill>
          <a:schemeClr val="bg1"/>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14</xdr:col>
      <xdr:colOff>580390</xdr:colOff>
      <xdr:row>23</xdr:row>
      <xdr:rowOff>118110</xdr:rowOff>
    </xdr:from>
    <xdr:to>
      <xdr:col>32</xdr:col>
      <xdr:colOff>46990</xdr:colOff>
      <xdr:row>28</xdr:row>
      <xdr:rowOff>202565</xdr:rowOff>
    </xdr:to>
    <xdr:sp macro="" textlink="">
      <xdr:nvSpPr>
        <xdr:cNvPr id="1114" name="四角形 101">
          <a:extLst>
            <a:ext uri="{FF2B5EF4-FFF2-40B4-BE49-F238E27FC236}">
              <a16:creationId xmlns:a16="http://schemas.microsoft.com/office/drawing/2014/main" id="{00000000-0008-0000-0000-00005A040000}"/>
            </a:ext>
          </a:extLst>
        </xdr:cNvPr>
        <xdr:cNvSpPr/>
      </xdr:nvSpPr>
      <xdr:spPr>
        <a:xfrm>
          <a:off x="10876915" y="5064125"/>
          <a:ext cx="4295775" cy="1149985"/>
        </a:xfrm>
        <a:prstGeom prst="rect">
          <a:avLst/>
        </a:prstGeom>
        <a:solidFill>
          <a:schemeClr val="bg1"/>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22</xdr:col>
      <xdr:colOff>38100</xdr:colOff>
      <xdr:row>28</xdr:row>
      <xdr:rowOff>99060</xdr:rowOff>
    </xdr:from>
    <xdr:to>
      <xdr:col>35</xdr:col>
      <xdr:colOff>104140</xdr:colOff>
      <xdr:row>33</xdr:row>
      <xdr:rowOff>421005</xdr:rowOff>
    </xdr:to>
    <xdr:sp macro="" textlink="">
      <xdr:nvSpPr>
        <xdr:cNvPr id="1115" name="四角形 102">
          <a:extLst>
            <a:ext uri="{FF2B5EF4-FFF2-40B4-BE49-F238E27FC236}">
              <a16:creationId xmlns:a16="http://schemas.microsoft.com/office/drawing/2014/main" id="{00000000-0008-0000-0000-00005B040000}"/>
            </a:ext>
          </a:extLst>
        </xdr:cNvPr>
        <xdr:cNvSpPr/>
      </xdr:nvSpPr>
      <xdr:spPr>
        <a:xfrm>
          <a:off x="12992100" y="6110605"/>
          <a:ext cx="4295140" cy="1127125"/>
        </a:xfrm>
        <a:prstGeom prst="rect">
          <a:avLst/>
        </a:prstGeom>
        <a:solidFill>
          <a:schemeClr val="bg1"/>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58"/>
  <sheetViews>
    <sheetView showGridLines="0" tabSelected="1" zoomScaleSheetLayoutView="80" workbookViewId="0">
      <selection activeCell="G20" sqref="G20"/>
    </sheetView>
  </sheetViews>
  <sheetFormatPr defaultRowHeight="13.5" x14ac:dyDescent="0.15"/>
  <cols>
    <col min="1" max="1" width="3.625" style="1" customWidth="1"/>
    <col min="2" max="3" width="10.125" style="1" customWidth="1"/>
    <col min="4" max="4" width="3" style="1" customWidth="1"/>
    <col min="5" max="5" width="8.625" style="1" customWidth="1"/>
    <col min="6" max="9" width="11.125" style="1" customWidth="1"/>
    <col min="10" max="10" width="11.125" style="1" hidden="1" customWidth="1"/>
    <col min="11" max="11" width="10.625" style="1" hidden="1" customWidth="1"/>
    <col min="12" max="13" width="11.125" style="1" hidden="1" customWidth="1"/>
    <col min="14" max="14" width="11.125" style="1" customWidth="1"/>
    <col min="15" max="17" width="7.625" style="1" customWidth="1"/>
    <col min="18" max="18" width="1.5" style="1" customWidth="1"/>
    <col min="19" max="31" width="2.625" style="1" customWidth="1"/>
    <col min="32" max="32" width="4.875" style="1" customWidth="1"/>
    <col min="33" max="33" width="9" style="1" customWidth="1"/>
    <col min="34" max="16384" width="9" style="1"/>
  </cols>
  <sheetData>
    <row r="1" spans="1:32" ht="5.0999999999999996" customHeight="1" x14ac:dyDescent="0.15"/>
    <row r="2" spans="1:32" ht="14.25" x14ac:dyDescent="0.15">
      <c r="B2" s="3" t="s">
        <v>4</v>
      </c>
    </row>
    <row r="3" spans="1:32" x14ac:dyDescent="0.15">
      <c r="A3" s="2"/>
      <c r="B3" s="3" t="s">
        <v>29</v>
      </c>
      <c r="J3" s="4"/>
      <c r="K3" s="1" t="s">
        <v>195</v>
      </c>
      <c r="N3" s="1" t="s">
        <v>226</v>
      </c>
    </row>
    <row r="4" spans="1:32" x14ac:dyDescent="0.15">
      <c r="B4" s="3" t="s">
        <v>54</v>
      </c>
      <c r="J4" s="4"/>
      <c r="K4" s="1" t="s">
        <v>196</v>
      </c>
      <c r="N4" s="1" t="s">
        <v>196</v>
      </c>
    </row>
    <row r="5" spans="1:32" ht="6" customHeight="1" x14ac:dyDescent="0.15">
      <c r="B5" s="4"/>
    </row>
    <row r="6" spans="1:32" x14ac:dyDescent="0.15">
      <c r="B6" s="5" t="s">
        <v>25</v>
      </c>
    </row>
    <row r="7" spans="1:32" x14ac:dyDescent="0.15">
      <c r="B7" s="6" t="s">
        <v>149</v>
      </c>
    </row>
    <row r="8" spans="1:32" x14ac:dyDescent="0.15">
      <c r="B8" s="7" t="str">
        <f>"※前年（"&amp;"令和"&amp;DBCS(税率・条件!C1-1)&amp;"年）の1月～１２月までの収入や所得金額を入力してください。"</f>
        <v>※前年（令和７年）の1月～１２月までの収入や所得金額を入力してください。</v>
      </c>
    </row>
    <row r="9" spans="1:32" x14ac:dyDescent="0.15">
      <c r="B9" s="6" t="s">
        <v>150</v>
      </c>
    </row>
    <row r="10" spans="1:32" ht="13.5" customHeight="1" x14ac:dyDescent="0.15">
      <c r="B10" s="6" t="s">
        <v>227</v>
      </c>
      <c r="C10" s="12"/>
      <c r="D10" s="12"/>
      <c r="E10" s="12"/>
      <c r="F10" s="12"/>
      <c r="G10" s="12"/>
      <c r="H10" s="12"/>
      <c r="I10" s="12"/>
      <c r="J10" s="12"/>
      <c r="K10" s="12"/>
      <c r="L10" s="12"/>
      <c r="M10" s="12"/>
      <c r="N10" s="12"/>
      <c r="O10" s="12"/>
    </row>
    <row r="11" spans="1:32" x14ac:dyDescent="0.15">
      <c r="B11" s="6" t="s">
        <v>160</v>
      </c>
    </row>
    <row r="12" spans="1:32" ht="41.1" customHeight="1" x14ac:dyDescent="0.15">
      <c r="B12" s="258" t="s">
        <v>228</v>
      </c>
      <c r="C12" s="258"/>
      <c r="D12" s="258"/>
      <c r="E12" s="258"/>
      <c r="F12" s="258"/>
      <c r="G12" s="258"/>
      <c r="H12" s="258"/>
      <c r="I12" s="258"/>
      <c r="J12" s="258"/>
      <c r="K12" s="258"/>
      <c r="L12" s="258"/>
      <c r="M12" s="258"/>
      <c r="N12" s="258"/>
      <c r="O12" s="258"/>
      <c r="P12" s="258"/>
      <c r="Q12" s="258"/>
    </row>
    <row r="13" spans="1:32" ht="14.25" x14ac:dyDescent="0.15">
      <c r="B13" s="8"/>
      <c r="S13" s="78" t="s">
        <v>212</v>
      </c>
    </row>
    <row r="14" spans="1:32" ht="9.9499999999999993" customHeight="1" x14ac:dyDescent="0.15"/>
    <row r="15" spans="1:32" ht="30" customHeight="1" x14ac:dyDescent="0.15">
      <c r="B15" s="9"/>
      <c r="C15" s="13"/>
      <c r="E15" s="18" t="str">
        <f>"R"&amp;税率・条件!C1&amp;"年度"</f>
        <v>R8年度</v>
      </c>
      <c r="F15" s="25" t="s">
        <v>68</v>
      </c>
      <c r="G15" s="25" t="s">
        <v>58</v>
      </c>
      <c r="H15" s="25" t="s">
        <v>59</v>
      </c>
      <c r="I15" s="39" t="s">
        <v>33</v>
      </c>
      <c r="J15" s="39" t="s">
        <v>8</v>
      </c>
      <c r="K15" s="42" t="s">
        <v>197</v>
      </c>
      <c r="L15" s="50" t="s">
        <v>26</v>
      </c>
      <c r="M15" s="57" t="s">
        <v>198</v>
      </c>
      <c r="N15" s="63" t="s">
        <v>36</v>
      </c>
      <c r="O15" s="69" t="str">
        <f>"R"&amp;税率・条件!C1&amp;"/1/1
時点年齢"</f>
        <v>R8/1/1
時点年齢</v>
      </c>
      <c r="P15" s="72" t="s">
        <v>192</v>
      </c>
      <c r="Q15" s="75" t="s">
        <v>193</v>
      </c>
      <c r="S15" s="79" t="s">
        <v>127</v>
      </c>
      <c r="T15" s="83" t="s">
        <v>128</v>
      </c>
      <c r="U15" s="83" t="s">
        <v>130</v>
      </c>
      <c r="V15" s="83" t="s">
        <v>116</v>
      </c>
      <c r="W15" s="83" t="s">
        <v>131</v>
      </c>
      <c r="X15" s="83" t="s">
        <v>132</v>
      </c>
      <c r="Y15" s="83" t="s">
        <v>133</v>
      </c>
      <c r="Z15" s="83" t="s">
        <v>134</v>
      </c>
      <c r="AA15" s="83" t="s">
        <v>135</v>
      </c>
      <c r="AB15" s="83" t="s">
        <v>136</v>
      </c>
      <c r="AC15" s="83" t="s">
        <v>28</v>
      </c>
      <c r="AD15" s="90" t="s">
        <v>137</v>
      </c>
      <c r="AF15" s="94" t="s">
        <v>151</v>
      </c>
    </row>
    <row r="16" spans="1:32" ht="20.100000000000001" customHeight="1" x14ac:dyDescent="0.15">
      <c r="B16" s="263" t="s">
        <v>57</v>
      </c>
      <c r="C16" s="265" t="s">
        <v>223</v>
      </c>
      <c r="E16" s="19" t="str">
        <f>IF(C16="社保等","擬　主",IF(AND(F16&lt;&gt;"",P16=""),"擬　主","世帯主"))</f>
        <v>世帯主</v>
      </c>
      <c r="F16" s="26"/>
      <c r="G16" s="29"/>
      <c r="H16" s="29"/>
      <c r="I16" s="29"/>
      <c r="J16" s="29"/>
      <c r="K16" s="43"/>
      <c r="L16" s="51"/>
      <c r="M16" s="58"/>
      <c r="N16" s="64" t="str">
        <f>IF(Q16&lt;&gt;"","介護該当",IF(OR(計算!B4="未就学",計算!B4="18歳未満"),計算!B4,""))</f>
        <v/>
      </c>
      <c r="O16" s="70" t="str">
        <f>IF(F16="","",IF(F16&gt;=DATE(税率・条件!$C$1+2018,1,1),"誕生前",DATEDIF(F16,DATE(税率・条件!$C$1+2018,1,1),"Y")&amp;"歳"))</f>
        <v/>
      </c>
      <c r="P16" s="73" t="str">
        <f>IF(F16="","",IF(計算!AN4=0,"",計算!AN4))</f>
        <v/>
      </c>
      <c r="Q16" s="76" t="str">
        <f>IF(F16="","",IF(計算!AN5=0,"",計算!AN5))</f>
        <v/>
      </c>
      <c r="S16" s="80" t="str">
        <f>計算!AO4&amp;CHAR(10)&amp;計算!AO5</f>
        <v xml:space="preserve">
</v>
      </c>
      <c r="T16" s="84" t="str">
        <f>計算!AP4&amp;CHAR(10)&amp;計算!AP5</f>
        <v xml:space="preserve">
</v>
      </c>
      <c r="U16" s="84" t="str">
        <f>計算!AQ4&amp;CHAR(10)&amp;計算!AQ5</f>
        <v xml:space="preserve">
</v>
      </c>
      <c r="V16" s="84" t="str">
        <f>計算!AR4&amp;CHAR(10)&amp;計算!AR5</f>
        <v xml:space="preserve">
</v>
      </c>
      <c r="W16" s="84" t="str">
        <f>計算!AS4&amp;CHAR(10)&amp;計算!AS5</f>
        <v xml:space="preserve">
</v>
      </c>
      <c r="X16" s="84" t="str">
        <f>計算!AT4&amp;CHAR(10)&amp;計算!AT5</f>
        <v xml:space="preserve">
</v>
      </c>
      <c r="Y16" s="84" t="str">
        <f>計算!AU4&amp;CHAR(10)&amp;計算!AU5</f>
        <v xml:space="preserve">
</v>
      </c>
      <c r="Z16" s="84" t="str">
        <f>計算!AV4&amp;CHAR(10)&amp;計算!AV5</f>
        <v xml:space="preserve">
</v>
      </c>
      <c r="AA16" s="84" t="str">
        <f>計算!AW4&amp;CHAR(10)&amp;計算!AW5</f>
        <v xml:space="preserve">
</v>
      </c>
      <c r="AB16" s="84" t="str">
        <f>計算!AX4&amp;CHAR(10)&amp;計算!AX5</f>
        <v xml:space="preserve">
</v>
      </c>
      <c r="AC16" s="84" t="str">
        <f>計算!AY4&amp;CHAR(10)&amp;計算!AY5</f>
        <v xml:space="preserve">
</v>
      </c>
      <c r="AD16" s="91" t="str">
        <f>計算!AZ4&amp;CHAR(10)&amp;計算!AZ5</f>
        <v xml:space="preserve">
</v>
      </c>
      <c r="AF16" s="95" t="str">
        <f>IF(AND($H$25&lt;&gt;"",$C$19="全員申告済み"),計算!S4,"")</f>
        <v/>
      </c>
    </row>
    <row r="17" spans="2:32" ht="20.100000000000001" customHeight="1" x14ac:dyDescent="0.15">
      <c r="B17" s="264"/>
      <c r="C17" s="266"/>
      <c r="E17" s="20" t="str">
        <f>IF(E16&lt;&gt;"擬　主","２","１")</f>
        <v>２</v>
      </c>
      <c r="F17" s="26"/>
      <c r="G17" s="29"/>
      <c r="H17" s="29"/>
      <c r="I17" s="29"/>
      <c r="J17" s="29"/>
      <c r="K17" s="43"/>
      <c r="L17" s="51"/>
      <c r="M17" s="58"/>
      <c r="N17" s="64" t="str">
        <f>IF(Q17&lt;&gt;"","介護該当",IF(OR(計算!B6="未就学",計算!B6="18歳未満"),計算!B6,""))</f>
        <v/>
      </c>
      <c r="O17" s="70" t="str">
        <f>IF(F17="","",IF(F17&gt;=DATE(税率・条件!$C$1+2018,1,1),"誕生前",DATEDIF(F17,DATE(税率・条件!$C$1+2018,1,1),"Y")&amp;"歳"))</f>
        <v/>
      </c>
      <c r="P17" s="73" t="str">
        <f>IF(F17="","",IF(計算!AN6=0,"",計算!AN6))</f>
        <v/>
      </c>
      <c r="Q17" s="76" t="str">
        <f>IF(F17="","",IF(計算!AN7=0,"",計算!AN7))</f>
        <v/>
      </c>
      <c r="S17" s="81" t="str">
        <f>計算!AO6&amp;CHAR(10)&amp;計算!AO7</f>
        <v xml:space="preserve">
</v>
      </c>
      <c r="T17" s="85" t="str">
        <f>計算!AP6&amp;CHAR(10)&amp;計算!AP7</f>
        <v xml:space="preserve">
</v>
      </c>
      <c r="U17" s="85" t="str">
        <f>計算!AQ6&amp;CHAR(10)&amp;計算!AQ7</f>
        <v xml:space="preserve">
</v>
      </c>
      <c r="V17" s="85" t="str">
        <f>計算!AR6&amp;CHAR(10)&amp;計算!AR7</f>
        <v xml:space="preserve">
</v>
      </c>
      <c r="W17" s="85" t="str">
        <f>計算!AS6&amp;CHAR(10)&amp;計算!AS7</f>
        <v xml:space="preserve">
</v>
      </c>
      <c r="X17" s="85" t="str">
        <f>計算!AT6&amp;CHAR(10)&amp;計算!AT7</f>
        <v xml:space="preserve">
</v>
      </c>
      <c r="Y17" s="85" t="str">
        <f>計算!AU6&amp;CHAR(10)&amp;計算!AU7</f>
        <v xml:space="preserve">
</v>
      </c>
      <c r="Z17" s="85" t="str">
        <f>計算!AV6&amp;CHAR(10)&amp;計算!AV7</f>
        <v xml:space="preserve">
</v>
      </c>
      <c r="AA17" s="85" t="str">
        <f>計算!AW6&amp;CHAR(10)&amp;計算!AW7</f>
        <v xml:space="preserve">
</v>
      </c>
      <c r="AB17" s="85" t="str">
        <f>計算!AX6&amp;CHAR(10)&amp;計算!AX7</f>
        <v xml:space="preserve">
</v>
      </c>
      <c r="AC17" s="85" t="str">
        <f>計算!AY6&amp;CHAR(10)&amp;計算!AY7</f>
        <v xml:space="preserve">
</v>
      </c>
      <c r="AD17" s="92" t="str">
        <f>計算!AZ6&amp;CHAR(10)&amp;計算!AZ7</f>
        <v xml:space="preserve">
</v>
      </c>
      <c r="AF17" s="95" t="str">
        <f>IF(AND($H$25&lt;&gt;"",$C$19="全員申告済み"),計算!S6,"")</f>
        <v/>
      </c>
    </row>
    <row r="18" spans="2:32" ht="20.100000000000001" customHeight="1" x14ac:dyDescent="0.15">
      <c r="B18" s="10"/>
      <c r="C18" s="14"/>
      <c r="E18" s="20" t="str">
        <f>IF(E16&lt;&gt;"擬　主","３","２")</f>
        <v>３</v>
      </c>
      <c r="F18" s="26"/>
      <c r="G18" s="29"/>
      <c r="H18" s="29"/>
      <c r="I18" s="29"/>
      <c r="J18" s="29"/>
      <c r="K18" s="43"/>
      <c r="L18" s="51"/>
      <c r="M18" s="58"/>
      <c r="N18" s="64" t="str">
        <f>IF(Q18&lt;&gt;"","介護該当",IF(OR(計算!B8="未就学",計算!B8="18歳未満"),計算!B8,""))</f>
        <v/>
      </c>
      <c r="O18" s="70" t="str">
        <f>IF(F18="","",IF(F18&gt;=DATE(税率・条件!$C$1+2018,1,1),"誕生前",DATEDIF(F18,DATE(税率・条件!$C$1+2018,1,1),"Y")&amp;"歳"))</f>
        <v/>
      </c>
      <c r="P18" s="73" t="str">
        <f>IF(F18="","",IF(計算!AN8=0,"",計算!AN8))</f>
        <v/>
      </c>
      <c r="Q18" s="76" t="str">
        <f>IF(F18="","",IF(計算!AN9=0,"",計算!AN9))</f>
        <v/>
      </c>
      <c r="S18" s="81" t="str">
        <f>計算!AO8&amp;CHAR(10)&amp;計算!AO9</f>
        <v xml:space="preserve">
</v>
      </c>
      <c r="T18" s="85" t="str">
        <f>計算!AP8&amp;CHAR(10)&amp;計算!AP9</f>
        <v xml:space="preserve">
</v>
      </c>
      <c r="U18" s="85" t="str">
        <f>計算!AQ8&amp;CHAR(10)&amp;計算!AQ9</f>
        <v xml:space="preserve">
</v>
      </c>
      <c r="V18" s="85" t="str">
        <f>計算!AR8&amp;CHAR(10)&amp;計算!AR9</f>
        <v xml:space="preserve">
</v>
      </c>
      <c r="W18" s="85" t="str">
        <f>計算!AS8&amp;CHAR(10)&amp;計算!AS9</f>
        <v xml:space="preserve">
</v>
      </c>
      <c r="X18" s="85" t="str">
        <f>計算!AT8&amp;CHAR(10)&amp;計算!AT9</f>
        <v xml:space="preserve">
</v>
      </c>
      <c r="Y18" s="85" t="str">
        <f>計算!AU8&amp;CHAR(10)&amp;計算!AU9</f>
        <v xml:space="preserve">
</v>
      </c>
      <c r="Z18" s="85" t="str">
        <f>計算!AV8&amp;CHAR(10)&amp;計算!AV9</f>
        <v xml:space="preserve">
</v>
      </c>
      <c r="AA18" s="85" t="str">
        <f>計算!AW8&amp;CHAR(10)&amp;計算!AW9</f>
        <v xml:space="preserve">
</v>
      </c>
      <c r="AB18" s="85" t="str">
        <f>計算!AX8&amp;CHAR(10)&amp;計算!AX9</f>
        <v xml:space="preserve">
</v>
      </c>
      <c r="AC18" s="85" t="str">
        <f>計算!AY8&amp;CHAR(10)&amp;計算!AY9</f>
        <v xml:space="preserve">
</v>
      </c>
      <c r="AD18" s="92" t="str">
        <f>計算!AZ8&amp;CHAR(10)&amp;計算!AZ9</f>
        <v xml:space="preserve">
</v>
      </c>
      <c r="AF18" s="95" t="str">
        <f>IF(AND($H$25&lt;&gt;"",$C$19="全員申告済み"),計算!S8,"")</f>
        <v/>
      </c>
    </row>
    <row r="19" spans="2:32" ht="20.100000000000001" customHeight="1" x14ac:dyDescent="0.15">
      <c r="B19" s="263" t="s">
        <v>3</v>
      </c>
      <c r="C19" s="265" t="s">
        <v>225</v>
      </c>
      <c r="E19" s="20" t="str">
        <f>IF(E16&lt;&gt;"擬　主","４","３")</f>
        <v>４</v>
      </c>
      <c r="F19" s="26"/>
      <c r="G19" s="29"/>
      <c r="H19" s="29"/>
      <c r="I19" s="29"/>
      <c r="J19" s="29"/>
      <c r="K19" s="43"/>
      <c r="L19" s="51"/>
      <c r="M19" s="58"/>
      <c r="N19" s="64" t="str">
        <f>IF(Q19&lt;&gt;"","介護該当",IF(OR(計算!B10="未就学",計算!B10="18歳未満"),計算!B10,""))</f>
        <v/>
      </c>
      <c r="O19" s="70" t="str">
        <f>IF(F19="","",IF(F19&gt;=DATE(税率・条件!$C$1+2018,1,1),"誕生前",DATEDIF(F19,DATE(税率・条件!$C$1+2018,1,1),"Y")&amp;"歳"))</f>
        <v/>
      </c>
      <c r="P19" s="73" t="str">
        <f>IF(F19="","",IF(計算!AN10=0,"",計算!AN10))</f>
        <v/>
      </c>
      <c r="Q19" s="76" t="str">
        <f>IF(F19="","",IF(計算!AN11=0,"",計算!AN11))</f>
        <v/>
      </c>
      <c r="S19" s="81" t="str">
        <f>計算!AO10&amp;CHAR(10)&amp;計算!AO11</f>
        <v xml:space="preserve">
</v>
      </c>
      <c r="T19" s="85" t="str">
        <f>計算!AP10&amp;CHAR(10)&amp;計算!AP11</f>
        <v xml:space="preserve">
</v>
      </c>
      <c r="U19" s="85" t="str">
        <f>計算!AQ10&amp;CHAR(10)&amp;計算!AQ11</f>
        <v xml:space="preserve">
</v>
      </c>
      <c r="V19" s="85" t="str">
        <f>計算!AR10&amp;CHAR(10)&amp;計算!AR11</f>
        <v xml:space="preserve">
</v>
      </c>
      <c r="W19" s="85" t="str">
        <f>計算!AS10&amp;CHAR(10)&amp;計算!AS11</f>
        <v xml:space="preserve">
</v>
      </c>
      <c r="X19" s="85" t="str">
        <f>計算!AT10&amp;CHAR(10)&amp;計算!AT11</f>
        <v xml:space="preserve">
</v>
      </c>
      <c r="Y19" s="85" t="str">
        <f>計算!AU10&amp;CHAR(10)&amp;計算!AU11</f>
        <v xml:space="preserve">
</v>
      </c>
      <c r="Z19" s="85" t="str">
        <f>計算!AV10&amp;CHAR(10)&amp;計算!AV11</f>
        <v xml:space="preserve">
</v>
      </c>
      <c r="AA19" s="85" t="str">
        <f>計算!AW10&amp;CHAR(10)&amp;計算!AW11</f>
        <v xml:space="preserve">
</v>
      </c>
      <c r="AB19" s="85" t="str">
        <f>計算!AX10&amp;CHAR(10)&amp;計算!AX11</f>
        <v xml:space="preserve">
</v>
      </c>
      <c r="AC19" s="85" t="str">
        <f>計算!AY10&amp;CHAR(10)&amp;計算!AY11</f>
        <v xml:space="preserve">
</v>
      </c>
      <c r="AD19" s="92" t="str">
        <f>計算!AZ10&amp;CHAR(10)&amp;計算!AZ11</f>
        <v xml:space="preserve">
</v>
      </c>
      <c r="AF19" s="95" t="str">
        <f>IF(AND($H$25&lt;&gt;"",$C$19="全員申告済み"),計算!S10,"")</f>
        <v/>
      </c>
    </row>
    <row r="20" spans="2:32" ht="20.100000000000001" customHeight="1" x14ac:dyDescent="0.15">
      <c r="B20" s="267"/>
      <c r="C20" s="269"/>
      <c r="E20" s="20" t="str">
        <f>IF(E16&lt;&gt;"擬　主","５","４")</f>
        <v>５</v>
      </c>
      <c r="F20" s="26"/>
      <c r="G20" s="29"/>
      <c r="H20" s="29"/>
      <c r="I20" s="29"/>
      <c r="J20" s="29"/>
      <c r="K20" s="43"/>
      <c r="L20" s="51"/>
      <c r="M20" s="58"/>
      <c r="N20" s="64" t="str">
        <f>IF(Q20&lt;&gt;"","介護該当",IF(OR(計算!B12="未就学",計算!B12="18歳未満"),計算!B12,""))</f>
        <v/>
      </c>
      <c r="O20" s="70" t="str">
        <f>IF(F20="","",IF(F20&gt;=DATE(税率・条件!$C$1+2018,1,1),"誕生前",DATEDIF(F20,DATE(税率・条件!$C$1+2018,1,1),"Y")&amp;"歳"))</f>
        <v/>
      </c>
      <c r="P20" s="73" t="str">
        <f>IF(F20="","",IF(計算!AN12=0,"",計算!AN12))</f>
        <v/>
      </c>
      <c r="Q20" s="76" t="str">
        <f>IF(F20="","",IF(計算!AN13=0,"",計算!AN13))</f>
        <v/>
      </c>
      <c r="S20" s="81" t="str">
        <f>計算!AO12&amp;CHAR(10)&amp;計算!AO13</f>
        <v xml:space="preserve">
</v>
      </c>
      <c r="T20" s="85" t="str">
        <f>計算!AP12&amp;CHAR(10)&amp;計算!AP13</f>
        <v xml:space="preserve">
</v>
      </c>
      <c r="U20" s="85" t="str">
        <f>計算!AQ12&amp;CHAR(10)&amp;計算!AQ13</f>
        <v xml:space="preserve">
</v>
      </c>
      <c r="V20" s="85" t="str">
        <f>計算!AR12&amp;CHAR(10)&amp;計算!AR13</f>
        <v xml:space="preserve">
</v>
      </c>
      <c r="W20" s="85" t="str">
        <f>計算!AS12&amp;CHAR(10)&amp;計算!AS13</f>
        <v xml:space="preserve">
</v>
      </c>
      <c r="X20" s="85" t="str">
        <f>計算!AT12&amp;CHAR(10)&amp;計算!AT13</f>
        <v xml:space="preserve">
</v>
      </c>
      <c r="Y20" s="85" t="str">
        <f>計算!AU12&amp;CHAR(10)&amp;計算!AU13</f>
        <v xml:space="preserve">
</v>
      </c>
      <c r="Z20" s="85" t="str">
        <f>計算!AV12&amp;CHAR(10)&amp;計算!AV13</f>
        <v xml:space="preserve">
</v>
      </c>
      <c r="AA20" s="85" t="str">
        <f>計算!AW12&amp;CHAR(10)&amp;計算!AW13</f>
        <v xml:space="preserve">
</v>
      </c>
      <c r="AB20" s="85" t="str">
        <f>計算!AX12&amp;CHAR(10)&amp;計算!AX13</f>
        <v xml:space="preserve">
</v>
      </c>
      <c r="AC20" s="85" t="str">
        <f>計算!AY12&amp;CHAR(10)&amp;計算!AY13</f>
        <v xml:space="preserve">
</v>
      </c>
      <c r="AD20" s="92" t="str">
        <f>計算!AZ12&amp;CHAR(10)&amp;計算!AZ13</f>
        <v xml:space="preserve">
</v>
      </c>
      <c r="AF20" s="95" t="str">
        <f>IF(AND($H$25&lt;&gt;"",$C$19="全員申告済み"),計算!S12,"")</f>
        <v/>
      </c>
    </row>
    <row r="21" spans="2:32" ht="20.100000000000001" customHeight="1" x14ac:dyDescent="0.15">
      <c r="B21" s="268"/>
      <c r="C21" s="270"/>
      <c r="E21" s="20" t="str">
        <f>IF(E16&lt;&gt;"擬　主","６","５")</f>
        <v>６</v>
      </c>
      <c r="F21" s="26"/>
      <c r="G21" s="29"/>
      <c r="H21" s="29"/>
      <c r="I21" s="29"/>
      <c r="J21" s="29"/>
      <c r="K21" s="43"/>
      <c r="L21" s="51"/>
      <c r="M21" s="58"/>
      <c r="N21" s="64" t="str">
        <f>IF(Q21&lt;&gt;"","介護該当",IF(OR(計算!B14="未就学",計算!B14="18歳未満"),計算!B14,""))</f>
        <v/>
      </c>
      <c r="O21" s="70" t="str">
        <f>IF(F21="","",IF(F21&gt;=DATE(税率・条件!$C$1+2018,1,1),"誕生前",DATEDIF(F21,DATE(税率・条件!$C$1+2018,1,1),"Y")&amp;"歳"))</f>
        <v/>
      </c>
      <c r="P21" s="73" t="str">
        <f>IF(F21="","",IF(計算!AN14=0,"",計算!AN14))</f>
        <v/>
      </c>
      <c r="Q21" s="76" t="str">
        <f>IF(F21="","",IF(計算!AN15=0,"",計算!AN15))</f>
        <v/>
      </c>
      <c r="S21" s="81" t="str">
        <f>計算!AO14&amp;CHAR(10)&amp;計算!AO15</f>
        <v xml:space="preserve">
</v>
      </c>
      <c r="T21" s="85" t="str">
        <f>計算!AP14&amp;CHAR(10)&amp;計算!AP15</f>
        <v xml:space="preserve">
</v>
      </c>
      <c r="U21" s="85" t="str">
        <f>計算!AQ14&amp;CHAR(10)&amp;計算!AQ15</f>
        <v xml:space="preserve">
</v>
      </c>
      <c r="V21" s="85" t="str">
        <f>計算!AR14&amp;CHAR(10)&amp;計算!AR15</f>
        <v xml:space="preserve">
</v>
      </c>
      <c r="W21" s="85" t="str">
        <f>計算!AS14&amp;CHAR(10)&amp;計算!AS15</f>
        <v xml:space="preserve">
</v>
      </c>
      <c r="X21" s="85" t="str">
        <f>計算!AT14&amp;CHAR(10)&amp;計算!AT15</f>
        <v xml:space="preserve">
</v>
      </c>
      <c r="Y21" s="85" t="str">
        <f>計算!AU14&amp;CHAR(10)&amp;計算!AU15</f>
        <v xml:space="preserve">
</v>
      </c>
      <c r="Z21" s="85" t="str">
        <f>計算!AV14&amp;CHAR(10)&amp;計算!AV15</f>
        <v xml:space="preserve">
</v>
      </c>
      <c r="AA21" s="85" t="str">
        <f>計算!AW14&amp;CHAR(10)&amp;計算!AW15</f>
        <v xml:space="preserve">
</v>
      </c>
      <c r="AB21" s="85" t="str">
        <f>計算!AX14&amp;CHAR(10)&amp;計算!AX15</f>
        <v xml:space="preserve">
</v>
      </c>
      <c r="AC21" s="85" t="str">
        <f>計算!AY14&amp;CHAR(10)&amp;計算!AY15</f>
        <v xml:space="preserve">
</v>
      </c>
      <c r="AD21" s="92" t="str">
        <f>計算!AZ14&amp;CHAR(10)&amp;計算!AZ15</f>
        <v xml:space="preserve">
</v>
      </c>
      <c r="AF21" s="95" t="str">
        <f>IF(AND($H$25&lt;&gt;"",$C$19="全員申告済み"),計算!S14,"")</f>
        <v/>
      </c>
    </row>
    <row r="22" spans="2:32" ht="20.100000000000001" customHeight="1" x14ac:dyDescent="0.15">
      <c r="B22" s="11"/>
      <c r="C22" s="15"/>
      <c r="E22" s="20" t="str">
        <f>IF(E16&lt;&gt;"擬　主","７","６")</f>
        <v>７</v>
      </c>
      <c r="F22" s="26"/>
      <c r="G22" s="29"/>
      <c r="H22" s="29"/>
      <c r="I22" s="29"/>
      <c r="J22" s="29"/>
      <c r="K22" s="43"/>
      <c r="L22" s="51"/>
      <c r="M22" s="58"/>
      <c r="N22" s="64" t="str">
        <f>IF(Q22&lt;&gt;"","介護該当",IF(OR(計算!B16="未就学",計算!B16="18歳未満"),計算!B16,""))</f>
        <v/>
      </c>
      <c r="O22" s="70" t="str">
        <f>IF(F22="","",IF(F22&gt;=DATE(税率・条件!$C$1+2018,1,1),"誕生前",DATEDIF(F22,DATE(税率・条件!$C$1+2018,1,1),"Y")&amp;"歳"))</f>
        <v/>
      </c>
      <c r="P22" s="73" t="str">
        <f>IF(F22="","",IF(計算!AN16=0,"",計算!AN16))</f>
        <v/>
      </c>
      <c r="Q22" s="76" t="str">
        <f>IF(F22="","",IF(計算!AN17=0,"",計算!AN17))</f>
        <v/>
      </c>
      <c r="S22" s="81" t="str">
        <f>計算!AO16&amp;CHAR(10)&amp;計算!AO17</f>
        <v xml:space="preserve">
</v>
      </c>
      <c r="T22" s="85" t="str">
        <f>計算!AP16&amp;CHAR(10)&amp;計算!AP17</f>
        <v xml:space="preserve">
</v>
      </c>
      <c r="U22" s="85" t="str">
        <f>計算!AQ16&amp;CHAR(10)&amp;計算!AQ17</f>
        <v xml:space="preserve">
</v>
      </c>
      <c r="V22" s="85" t="str">
        <f>計算!AR16&amp;CHAR(10)&amp;計算!AR17</f>
        <v xml:space="preserve">
</v>
      </c>
      <c r="W22" s="85" t="str">
        <f>計算!AS16&amp;CHAR(10)&amp;計算!AS17</f>
        <v xml:space="preserve">
</v>
      </c>
      <c r="X22" s="85" t="str">
        <f>計算!AT16&amp;CHAR(10)&amp;計算!AT17</f>
        <v xml:space="preserve">
</v>
      </c>
      <c r="Y22" s="85" t="str">
        <f>計算!AU16&amp;CHAR(10)&amp;計算!AU17</f>
        <v xml:space="preserve">
</v>
      </c>
      <c r="Z22" s="85" t="str">
        <f>計算!AV16&amp;CHAR(10)&amp;計算!AV17</f>
        <v xml:space="preserve">
</v>
      </c>
      <c r="AA22" s="85" t="str">
        <f>計算!AW16&amp;CHAR(10)&amp;計算!AW17</f>
        <v xml:space="preserve">
</v>
      </c>
      <c r="AB22" s="85" t="str">
        <f>計算!AX16&amp;CHAR(10)&amp;計算!AX17</f>
        <v xml:space="preserve">
</v>
      </c>
      <c r="AC22" s="85" t="str">
        <f>計算!AY16&amp;CHAR(10)&amp;計算!AY17</f>
        <v xml:space="preserve">
</v>
      </c>
      <c r="AD22" s="92" t="str">
        <f>計算!AZ16&amp;CHAR(10)&amp;計算!AZ17</f>
        <v xml:space="preserve">
</v>
      </c>
      <c r="AF22" s="95" t="str">
        <f>IF(AND($H$25&lt;&gt;"",$C$19="全員申告済み"),計算!S16,"")</f>
        <v/>
      </c>
    </row>
    <row r="23" spans="2:32" ht="20.100000000000001" customHeight="1" x14ac:dyDescent="0.15">
      <c r="B23" s="11"/>
      <c r="C23" s="15"/>
      <c r="E23" s="21" t="str">
        <f>IF(E16&lt;&gt;"擬　主","８","７")</f>
        <v>８</v>
      </c>
      <c r="F23" s="27"/>
      <c r="G23" s="30"/>
      <c r="H23" s="30"/>
      <c r="I23" s="30"/>
      <c r="J23" s="30"/>
      <c r="K23" s="44"/>
      <c r="L23" s="52"/>
      <c r="M23" s="59"/>
      <c r="N23" s="65" t="str">
        <f>IF(Q23&lt;&gt;"","介護該当",IF(OR(計算!B18="未就学",計算!B18="18歳未満"),計算!B18,""))</f>
        <v/>
      </c>
      <c r="O23" s="71" t="str">
        <f>IF(F23="","",IF(F23&gt;=DATE(税率・条件!$C$1+2018,1,1),"誕生前",DATEDIF(F23,DATE(税率・条件!$C$1+2018,1,1),"Y")&amp;"歳"))</f>
        <v/>
      </c>
      <c r="P23" s="74" t="str">
        <f>IF(F23="","",IF(計算!AN18=0,"",計算!AN18))</f>
        <v/>
      </c>
      <c r="Q23" s="77" t="str">
        <f>IF(F23="","",IF(計算!AN19=0,"",計算!AN19))</f>
        <v/>
      </c>
      <c r="S23" s="82" t="str">
        <f>計算!AO18&amp;CHAR(10)&amp;計算!AO19</f>
        <v xml:space="preserve">
</v>
      </c>
      <c r="T23" s="86" t="str">
        <f>計算!AP18&amp;CHAR(10)&amp;計算!AP19</f>
        <v xml:space="preserve">
</v>
      </c>
      <c r="U23" s="86" t="str">
        <f>計算!AQ18&amp;CHAR(10)&amp;計算!AQ19</f>
        <v xml:space="preserve">
</v>
      </c>
      <c r="V23" s="86" t="str">
        <f>計算!AR18&amp;CHAR(10)&amp;計算!AR19</f>
        <v xml:space="preserve">
</v>
      </c>
      <c r="W23" s="86" t="str">
        <f>計算!AS18&amp;CHAR(10)&amp;計算!AS19</f>
        <v xml:space="preserve">
</v>
      </c>
      <c r="X23" s="86" t="str">
        <f>計算!AT18&amp;CHAR(10)&amp;計算!AT19</f>
        <v xml:space="preserve">
</v>
      </c>
      <c r="Y23" s="86" t="str">
        <f>計算!AU18&amp;CHAR(10)&amp;計算!AU19</f>
        <v xml:space="preserve">
</v>
      </c>
      <c r="Z23" s="86" t="str">
        <f>計算!AV18&amp;CHAR(10)&amp;計算!AV19</f>
        <v xml:space="preserve">
</v>
      </c>
      <c r="AA23" s="86" t="str">
        <f>計算!AW18&amp;CHAR(10)&amp;計算!AW19</f>
        <v xml:space="preserve">
</v>
      </c>
      <c r="AB23" s="86" t="str">
        <f>計算!AX18&amp;CHAR(10)&amp;計算!AX19</f>
        <v xml:space="preserve">
</v>
      </c>
      <c r="AC23" s="86" t="str">
        <f>計算!AY18&amp;CHAR(10)&amp;計算!AY19</f>
        <v xml:space="preserve">
</v>
      </c>
      <c r="AD23" s="93" t="str">
        <f>計算!AZ18&amp;CHAR(10)&amp;計算!AZ19</f>
        <v xml:space="preserve">
</v>
      </c>
      <c r="AF23" s="96" t="str">
        <f>IF(AND($H$25&lt;&gt;"",$C$19="全員申告済み"),計算!S18,"")</f>
        <v/>
      </c>
    </row>
    <row r="24" spans="2:32" ht="20.100000000000001" customHeight="1" x14ac:dyDescent="0.15">
      <c r="K24" s="45" t="s">
        <v>156</v>
      </c>
      <c r="U24" s="87" t="str">
        <f>IF(AND($H$25&lt;&gt;"",$C$19="全員申告済み"),"※黄色のセルが軽減判定対象者","")</f>
        <v/>
      </c>
    </row>
    <row r="25" spans="2:32" ht="15.95" customHeight="1" x14ac:dyDescent="0.15">
      <c r="B25" s="271" t="s">
        <v>11</v>
      </c>
      <c r="C25" s="273" t="s">
        <v>186</v>
      </c>
      <c r="F25" s="259" t="s">
        <v>48</v>
      </c>
      <c r="G25" s="260"/>
      <c r="H25" s="32" t="str">
        <f>IF(OR(COUNT(P16:P23)=0,F16=""),"",COUNT(P16:P23))</f>
        <v/>
      </c>
      <c r="K25" s="46">
        <v>4</v>
      </c>
      <c r="L25" s="53" t="str">
        <f>IF(H25="","",計算!Z94)</f>
        <v/>
      </c>
      <c r="M25" s="60">
        <v>10</v>
      </c>
      <c r="N25" s="66" t="str">
        <f>IF(H25="","",計算!AF94)</f>
        <v/>
      </c>
    </row>
    <row r="26" spans="2:32" ht="15.95" customHeight="1" x14ac:dyDescent="0.15">
      <c r="B26" s="272"/>
      <c r="C26" s="274"/>
      <c r="F26" s="259" t="str">
        <f>IF(計算!M35="","軽 減 該 当","強制軽減該当")</f>
        <v>軽 減 該 当</v>
      </c>
      <c r="G26" s="260"/>
      <c r="H26" s="33" t="str">
        <f>IF(H25="","",IF(計算!M34=70%,"７割軽減",IF(計算!M34=50%,"５割軽減",IF(計算!M34=20%,"２割軽減","軽減なし"))))</f>
        <v/>
      </c>
      <c r="I26" s="40" t="str">
        <f>IF(OR(I27&lt;&gt;"",I28&lt;&gt;"",I29&lt;&gt;""),"※月割限度","")</f>
        <v/>
      </c>
      <c r="J26" s="40"/>
      <c r="K26" s="47">
        <v>5</v>
      </c>
      <c r="L26" s="54" t="str">
        <f>IF(H25="","",計算!AA94)</f>
        <v/>
      </c>
      <c r="M26" s="61">
        <v>11</v>
      </c>
      <c r="N26" s="67" t="str">
        <f>IF(H25="","",計算!AG94)</f>
        <v/>
      </c>
    </row>
    <row r="27" spans="2:32" ht="15.95" customHeight="1" x14ac:dyDescent="0.15">
      <c r="F27" s="259" t="s">
        <v>47</v>
      </c>
      <c r="G27" s="260"/>
      <c r="H27" s="34" t="str">
        <f>IF(H25="","",計算!R28)</f>
        <v/>
      </c>
      <c r="I27" s="40" t="str">
        <f>IF(COUNTIF(計算!Z50:AV50,"該当")=0,""," "&amp;COUNTIF(計算!Z50:AV50,"該当")&amp;"ｶ月該当")</f>
        <v/>
      </c>
      <c r="J27" s="40"/>
      <c r="K27" s="48">
        <v>6</v>
      </c>
      <c r="L27" s="55" t="str">
        <f>IF(H25="","",計算!AB94)</f>
        <v/>
      </c>
      <c r="M27" s="61">
        <v>12</v>
      </c>
      <c r="N27" s="67" t="str">
        <f>IF(H25="","",計算!AH94)</f>
        <v/>
      </c>
    </row>
    <row r="28" spans="2:32" ht="15.95" customHeight="1" x14ac:dyDescent="0.15">
      <c r="F28" s="261" t="s">
        <v>218</v>
      </c>
      <c r="G28" s="262"/>
      <c r="H28" s="35" t="str">
        <f>IF(H25="","",計算!R33)</f>
        <v/>
      </c>
      <c r="I28" s="40" t="str">
        <f>IF(COUNTIF(計算!Z64:AV64,"該当")=0,""," "&amp;COUNTIF(計算!Z64:AV64,"該当")&amp;"ｶ月該当")</f>
        <v/>
      </c>
      <c r="J28" s="40"/>
      <c r="K28" s="48">
        <v>7</v>
      </c>
      <c r="L28" s="55" t="str">
        <f>IF(H25="","",計算!AC94)</f>
        <v/>
      </c>
      <c r="M28" s="61">
        <v>1</v>
      </c>
      <c r="N28" s="67" t="str">
        <f>IF(H25="","",計算!AI94)</f>
        <v/>
      </c>
    </row>
    <row r="29" spans="2:32" ht="15.95" customHeight="1" x14ac:dyDescent="0.15">
      <c r="F29" s="259" t="s">
        <v>147</v>
      </c>
      <c r="G29" s="260"/>
      <c r="H29" s="34" t="str">
        <f>IF(H25="","",計算!R38)</f>
        <v/>
      </c>
      <c r="I29" s="40" t="str">
        <f>IF(COUNTIF(計算!Z78:AV78,"該当")=0,""," "&amp;COUNTIF(計算!Z78:AV78,"該当")&amp;"ｶ月該当")</f>
        <v/>
      </c>
      <c r="J29" s="40"/>
      <c r="K29" s="48">
        <v>8</v>
      </c>
      <c r="L29" s="55" t="str">
        <f>IF(H25="","",計算!AD94)</f>
        <v/>
      </c>
      <c r="M29" s="61">
        <v>2</v>
      </c>
      <c r="N29" s="67" t="str">
        <f>IF(H25="","",計算!AJ94)</f>
        <v/>
      </c>
    </row>
    <row r="30" spans="2:32" ht="15.95" customHeight="1" x14ac:dyDescent="0.15">
      <c r="F30" s="259" t="s">
        <v>39</v>
      </c>
      <c r="G30" s="260"/>
      <c r="H30" s="34" t="str">
        <f>IF(H25="","",計算!R43)</f>
        <v/>
      </c>
      <c r="I30" s="40" t="str">
        <f>IF(COUNTIF(計算!Z92:AV92,"該当")=0,""," "&amp;COUNTIF(計算!Z92:AV92,"該当")&amp;"ｶ月該当")</f>
        <v/>
      </c>
      <c r="K30" s="49">
        <v>9</v>
      </c>
      <c r="L30" s="56" t="str">
        <f>IF(H25="","",計算!AE94)</f>
        <v/>
      </c>
      <c r="M30" s="62">
        <v>3</v>
      </c>
      <c r="N30" s="68" t="str">
        <f>IF(H25="","",計算!AK94)</f>
        <v/>
      </c>
    </row>
    <row r="31" spans="2:32" x14ac:dyDescent="0.15">
      <c r="F31" s="276" t="s">
        <v>190</v>
      </c>
      <c r="G31" s="277"/>
      <c r="H31" s="36" t="str">
        <f>IF(H25="","",SUM(H27:H30))</f>
        <v/>
      </c>
      <c r="M31" s="278">
        <f>SUM(L25:L30,N25:N30)</f>
        <v>0</v>
      </c>
      <c r="N31" s="279"/>
    </row>
    <row r="32" spans="2:32" ht="3" customHeight="1" x14ac:dyDescent="0.15"/>
    <row r="33" spans="4:17" ht="13.5" customHeight="1" x14ac:dyDescent="0.15">
      <c r="E33" s="22"/>
      <c r="F33" s="28" t="s">
        <v>96</v>
      </c>
      <c r="J33" s="41"/>
    </row>
    <row r="34" spans="4:17" ht="64.5" customHeight="1" x14ac:dyDescent="0.15">
      <c r="E34" s="280" t="str">
        <f>IF(計算!L52&lt;&gt;"",計算!L52&amp;"加入期間を別々に入力し計算してください。"&amp;CHAR(10),"")&amp;IF(OR(AND(E16&lt;&gt;"擬　主",G16&gt;8500000),G17&gt;8500000,G18&gt;8500000,G19&gt;8500000,G20&gt;8500000,G21&gt;8500000,G22&gt;8500000,G23&gt;8500000),"※注意！！！　　　給与収入が850万円を超えた人が存在します。"&amp;CHAR(10)&amp;"　 所得金額調整控除が該当となる場合、国保税が高く計算される場合があります。"&amp;CHAR(10),"")&amp;IF(OR(AND(E16="擬　主",K16="該 当")),"※　「擬主」なのに、特例軽減が「該当」になっています。"&amp;CHAR(10),"")&amp;IF(OR(AND(E16&lt;&gt;"擬　主",G16="",K16="該 当"),AND(G17="",K17="該 当"),AND(G18="",K18="該 当"),AND(G19="",K19="該 当"),AND(G20="",K20="該 当"),AND(G21="",K21="該 当"),AND(G22="",K22="該 当"),AND(G23="",K23="該 当")),"※　給与収入が入力されていないのに、特例軽減が「該当」になっているものがあります。"&amp;CHAR(10),"")&amp;IF(OR(AND(E16&lt;&gt;"擬　主",LEFT(O16,1)="6",K16="該 当",Q16&lt;&gt;P16),AND(LEFT(O17,1)="6",K17="該 当",Q17&lt;&gt;P17),AND(LEFT(O18,1)="6",K18="該 当",Q18&lt;&gt;P18),AND(LEFT(O19,1)="6",K19="該 当",Q19&lt;&gt;P19),AND(LEFT(O20,1)="6",K20="該 当",Q20&lt;&gt;P20),AND(LEFT(O21,1)="6",K21="該 当",Q21&lt;&gt;P21),AND(LEFT(O22,1)="6",K22="該 当",Q22&lt;&gt;P22),AND(LEFT(O23,1)="6",K23="該 当",Q23&lt;&gt;P23)),"※　65歳を超えているのに、特例軽減が「該当」になっているものがあります。確認してください。"&amp;CHAR(10),"")</f>
        <v/>
      </c>
      <c r="F34" s="280"/>
      <c r="G34" s="280"/>
      <c r="H34" s="280"/>
      <c r="I34" s="280"/>
      <c r="J34" s="280"/>
      <c r="K34" s="280"/>
      <c r="L34" s="280"/>
      <c r="M34" s="280"/>
      <c r="N34" s="280"/>
      <c r="O34" s="280"/>
      <c r="P34" s="280"/>
      <c r="Q34" s="280"/>
    </row>
    <row r="35" spans="4:17" ht="13.5" customHeight="1" x14ac:dyDescent="0.15">
      <c r="E35" s="281" t="s">
        <v>98</v>
      </c>
      <c r="F35" s="281"/>
      <c r="G35" s="281"/>
      <c r="H35" s="281"/>
      <c r="I35" s="281"/>
      <c r="J35" s="281"/>
      <c r="K35" s="281"/>
      <c r="L35" s="281"/>
      <c r="M35" s="281"/>
      <c r="N35" s="281"/>
      <c r="O35" s="281"/>
      <c r="P35" s="281"/>
    </row>
    <row r="36" spans="4:17" ht="15" customHeight="1" x14ac:dyDescent="0.15">
      <c r="E36" s="281"/>
      <c r="F36" s="281"/>
      <c r="G36" s="281"/>
      <c r="H36" s="281"/>
      <c r="I36" s="281"/>
      <c r="J36" s="281"/>
      <c r="K36" s="281"/>
      <c r="L36" s="281"/>
      <c r="M36" s="281"/>
      <c r="N36" s="281"/>
      <c r="O36" s="281"/>
      <c r="P36" s="281"/>
    </row>
    <row r="37" spans="4:17" ht="15" customHeight="1" x14ac:dyDescent="0.15">
      <c r="E37" s="281"/>
      <c r="F37" s="281"/>
      <c r="G37" s="281"/>
      <c r="H37" s="281"/>
      <c r="I37" s="281"/>
      <c r="J37" s="281"/>
      <c r="K37" s="281"/>
      <c r="L37" s="281"/>
      <c r="M37" s="281"/>
      <c r="N37" s="281"/>
      <c r="O37" s="281"/>
      <c r="P37" s="281"/>
    </row>
    <row r="38" spans="4:17" ht="15" customHeight="1" x14ac:dyDescent="0.15">
      <c r="D38" s="16"/>
      <c r="E38" s="23"/>
      <c r="F38" s="17"/>
      <c r="G38" s="17"/>
      <c r="H38" s="17"/>
      <c r="I38" s="17"/>
    </row>
    <row r="39" spans="4:17" ht="15" customHeight="1" x14ac:dyDescent="0.15">
      <c r="D39" s="17"/>
      <c r="E39" s="282"/>
      <c r="F39" s="282"/>
      <c r="G39" s="24"/>
      <c r="H39" s="37"/>
      <c r="I39" s="17"/>
    </row>
    <row r="40" spans="4:17" ht="15" customHeight="1" x14ac:dyDescent="0.15">
      <c r="D40" s="17"/>
      <c r="E40" s="275"/>
      <c r="F40" s="275"/>
      <c r="G40" s="31"/>
      <c r="H40" s="38"/>
      <c r="I40" s="17"/>
    </row>
    <row r="41" spans="4:17" ht="15" customHeight="1" x14ac:dyDescent="0.15">
      <c r="D41" s="17"/>
      <c r="E41" s="275"/>
      <c r="F41" s="275"/>
      <c r="G41" s="31"/>
      <c r="H41" s="38"/>
      <c r="I41" s="17"/>
    </row>
    <row r="42" spans="4:17" ht="15" customHeight="1" x14ac:dyDescent="0.15">
      <c r="D42" s="17"/>
      <c r="E42" s="275"/>
      <c r="F42" s="275"/>
      <c r="G42" s="31"/>
      <c r="H42" s="38"/>
      <c r="I42" s="17"/>
    </row>
    <row r="43" spans="4:17" ht="15" customHeight="1" x14ac:dyDescent="0.15">
      <c r="D43" s="17"/>
      <c r="E43" s="275"/>
      <c r="F43" s="275"/>
      <c r="G43" s="31"/>
      <c r="H43" s="38"/>
      <c r="I43" s="17"/>
    </row>
    <row r="44" spans="4:17" ht="15" customHeight="1" x14ac:dyDescent="0.15">
      <c r="D44" s="17"/>
      <c r="E44" s="17"/>
      <c r="F44" s="17"/>
      <c r="G44" s="17"/>
      <c r="H44" s="17"/>
      <c r="I44" s="17"/>
    </row>
    <row r="45" spans="4:17" ht="15" customHeight="1" x14ac:dyDescent="0.15"/>
    <row r="46" spans="4:17" ht="15" customHeight="1" x14ac:dyDescent="0.15"/>
    <row r="49" spans="5:23" x14ac:dyDescent="0.15">
      <c r="E49" s="1" t="str">
        <f>IF(OR(AND(E16&lt;&gt;"擬　主",LEFT(O16,1)="6",K16="該 当",Q16&lt;&gt;12),AND(LEFT(O17,1)="6",K17="該 当",Q17&lt;&gt;12),AND(LEFT(O18,1)="6",K18="該 当",Q18&lt;&gt;12),AND(LEFT(O19,1)="6",K19="該 当",Q19&lt;&gt;12),AND(LEFT(O20,1)="6",K20="該 当",Q20&lt;&gt;12),AND(LEFT(O21,1)="6",K21="該 当",Q21&lt;&gt;12),AND(LEFT(O22,1)="6",K22="該 当",Q22&lt;&gt;12),AND(LEFT(O23,1)="6",K23="該 当",Q23&lt;&gt;12)),"※　65歳を超えているのに、特例軽減が「該当」になっているものがあります。確認してください。"&amp;CHAR(10),"")</f>
        <v/>
      </c>
    </row>
    <row r="56" spans="5:23" x14ac:dyDescent="0.15">
      <c r="U56" s="88"/>
    </row>
    <row r="58" spans="5:23" x14ac:dyDescent="0.15">
      <c r="W58" s="89"/>
    </row>
  </sheetData>
  <sheetProtection algorithmName="SHA-512" hashValue="fbD6vGzIRVYP7m+aTMQLxQVu291z42RCphwB2UDyWR0kq90jg//aY//W+3txIl6a5PxnyO3JfsEfwRUTkEeu1w==" saltValue="CLm9NqJa0Sz4bWkk2fYqfQ==" spinCount="100000" sheet="1" objects="1" scenarios="1" selectLockedCells="1"/>
  <mergeCells count="22">
    <mergeCell ref="E43:F43"/>
    <mergeCell ref="F29:G29"/>
    <mergeCell ref="F30:G30"/>
    <mergeCell ref="F31:G31"/>
    <mergeCell ref="M31:N31"/>
    <mergeCell ref="E34:Q34"/>
    <mergeCell ref="E35:P37"/>
    <mergeCell ref="E39:F39"/>
    <mergeCell ref="E40:F40"/>
    <mergeCell ref="E41:F41"/>
    <mergeCell ref="E42:F42"/>
    <mergeCell ref="B12:Q12"/>
    <mergeCell ref="F25:G25"/>
    <mergeCell ref="F26:G26"/>
    <mergeCell ref="F27:G27"/>
    <mergeCell ref="F28:G28"/>
    <mergeCell ref="B16:B17"/>
    <mergeCell ref="C16:C17"/>
    <mergeCell ref="B19:B21"/>
    <mergeCell ref="C19:C21"/>
    <mergeCell ref="B25:B26"/>
    <mergeCell ref="C25:C26"/>
  </mergeCells>
  <phoneticPr fontId="1"/>
  <conditionalFormatting sqref="B25:C26">
    <cfRule type="expression" dxfId="103" priority="72" stopIfTrue="1">
      <formula>$C$25&lt;&gt;"軽減なし"</formula>
    </cfRule>
  </conditionalFormatting>
  <conditionalFormatting sqref="E34:O34">
    <cfRule type="expression" dxfId="102" priority="69">
      <formula>$E$34&lt;&gt;""</formula>
    </cfRule>
  </conditionalFormatting>
  <conditionalFormatting sqref="E35:O37">
    <cfRule type="expression" dxfId="101" priority="71" stopIfTrue="1">
      <formula>$C$25&lt;&gt;"軽減なし"</formula>
    </cfRule>
    <cfRule type="expression" dxfId="100" priority="70" stopIfTrue="1">
      <formula>$C$25="軽減なし"</formula>
    </cfRule>
  </conditionalFormatting>
  <conditionalFormatting sqref="F16">
    <cfRule type="expression" dxfId="99" priority="9">
      <formula>$F$16=""</formula>
    </cfRule>
  </conditionalFormatting>
  <conditionalFormatting sqref="F17">
    <cfRule type="expression" dxfId="98" priority="7">
      <formula>AND($E$16="擬　主",$F$17="")</formula>
    </cfRule>
    <cfRule type="expression" dxfId="97" priority="34">
      <formula>AND(COUNTA($G$17:$L$17)&gt;0,$F$17="")</formula>
    </cfRule>
  </conditionalFormatting>
  <conditionalFormatting sqref="F18">
    <cfRule type="expression" dxfId="96" priority="33">
      <formula>AND(COUNTA($G$18:$L$18)&gt;0,$F$18="")</formula>
    </cfRule>
  </conditionalFormatting>
  <conditionalFormatting sqref="F19">
    <cfRule type="expression" dxfId="95" priority="32">
      <formula>AND(COUNTA($G$19:$L$19)&gt;0,$F$19="")</formula>
    </cfRule>
  </conditionalFormatting>
  <conditionalFormatting sqref="F20">
    <cfRule type="expression" dxfId="94" priority="31">
      <formula>AND(COUNTA($G$20:$L$20)&gt;0,$F$20="")</formula>
    </cfRule>
  </conditionalFormatting>
  <conditionalFormatting sqref="F21">
    <cfRule type="expression" dxfId="93" priority="30">
      <formula>AND(COUNTA($G$21:$L$21)&gt;0,$F$21="")</formula>
    </cfRule>
  </conditionalFormatting>
  <conditionalFormatting sqref="F22">
    <cfRule type="expression" dxfId="92" priority="29">
      <formula>AND(COUNTA($G$22:$L$22)&gt;0,$F$22="")</formula>
    </cfRule>
  </conditionalFormatting>
  <conditionalFormatting sqref="F23">
    <cfRule type="expression" dxfId="91" priority="28">
      <formula>AND(COUNTA($G$23:$L$23)&gt;0,$F$23="")</formula>
    </cfRule>
  </conditionalFormatting>
  <conditionalFormatting sqref="F16:G16">
    <cfRule type="expression" dxfId="90" priority="35">
      <formula>AND($G$16&gt;8500000,$E$16&lt;&gt;"擬　主")</formula>
    </cfRule>
    <cfRule type="expression" dxfId="89" priority="27">
      <formula>AND($E$16&lt;&gt;"擬　主",$G$16="",$K$16="該 当")</formula>
    </cfRule>
  </conditionalFormatting>
  <conditionalFormatting sqref="F17:G17">
    <cfRule type="expression" dxfId="88" priority="8">
      <formula>AND($G$17="",$K$17="該 当")</formula>
    </cfRule>
    <cfRule type="expression" dxfId="87" priority="26">
      <formula>F17&gt;8500000</formula>
    </cfRule>
  </conditionalFormatting>
  <conditionalFormatting sqref="F18:G18">
    <cfRule type="expression" dxfId="86" priority="6">
      <formula>AND($G$18="",$K$18="該 当")</formula>
    </cfRule>
    <cfRule type="expression" dxfId="85" priority="25">
      <formula>$G$18&gt;8500000</formula>
    </cfRule>
  </conditionalFormatting>
  <conditionalFormatting sqref="F19:G19">
    <cfRule type="expression" dxfId="84" priority="5">
      <formula>AND($G$19="",$K$19="該 当")</formula>
    </cfRule>
    <cfRule type="expression" dxfId="83" priority="24">
      <formula>$G$19&gt;8500000</formula>
    </cfRule>
  </conditionalFormatting>
  <conditionalFormatting sqref="F20:G20">
    <cfRule type="expression" dxfId="82" priority="4">
      <formula>AND($G$20="",$K$20="該 当")</formula>
    </cfRule>
    <cfRule type="expression" dxfId="81" priority="23">
      <formula>$G$20&gt;8500000</formula>
    </cfRule>
  </conditionalFormatting>
  <conditionalFormatting sqref="F21:G21">
    <cfRule type="expression" dxfId="80" priority="3">
      <formula>AND($G$21="",$K$21="該 当")</formula>
    </cfRule>
    <cfRule type="expression" dxfId="79" priority="22">
      <formula>$G$21&gt;8500000</formula>
    </cfRule>
  </conditionalFormatting>
  <conditionalFormatting sqref="F22:G22">
    <cfRule type="expression" dxfId="78" priority="2">
      <formula>AND($G$22="",$K$22="該 当")</formula>
    </cfRule>
    <cfRule type="expression" dxfId="77" priority="21">
      <formula>$G$22&gt;8500000</formula>
    </cfRule>
  </conditionalFormatting>
  <conditionalFormatting sqref="F23:G23">
    <cfRule type="expression" dxfId="76" priority="20">
      <formula>$G$23&gt;8500000</formula>
    </cfRule>
    <cfRule type="expression" dxfId="75" priority="1">
      <formula>AND($G$23="",$K$23="該 当")</formula>
    </cfRule>
  </conditionalFormatting>
  <conditionalFormatting sqref="F26:H26">
    <cfRule type="expression" dxfId="74" priority="80" stopIfTrue="1">
      <formula>$F$26="強制軽減該当"</formula>
    </cfRule>
  </conditionalFormatting>
  <conditionalFormatting sqref="K16">
    <cfRule type="expression" dxfId="73" priority="201">
      <formula>AND(E16&lt;&gt;"擬　主",LEFT(O16,1)="6",K16="該 当",Q16&lt;&gt;P16)</formula>
    </cfRule>
    <cfRule type="expression" dxfId="72" priority="199">
      <formula>AND($E$16&lt;&gt;"擬　主",$G$16="",$K$16="該 当")</formula>
    </cfRule>
    <cfRule type="expression" dxfId="71" priority="200">
      <formula>AND($E$16="擬　主",$K$16="該 当")</formula>
    </cfRule>
  </conditionalFormatting>
  <conditionalFormatting sqref="K17">
    <cfRule type="expression" dxfId="70" priority="103">
      <formula>AND($G$17="",$K$17="該 当")</formula>
    </cfRule>
    <cfRule type="expression" dxfId="69" priority="104">
      <formula>AND(LEFT(O17,1)="6",K17="該 当",Q17&lt;&gt;P17)</formula>
    </cfRule>
  </conditionalFormatting>
  <conditionalFormatting sqref="K18">
    <cfRule type="expression" dxfId="68" priority="105">
      <formula>AND($G$18="",$K$18="該 当")</formula>
    </cfRule>
    <cfRule type="expression" dxfId="67" priority="106">
      <formula>AND(LEFT(O18,1)="6",K18="該 当",Q18&lt;&gt;P18)</formula>
    </cfRule>
  </conditionalFormatting>
  <conditionalFormatting sqref="K19">
    <cfRule type="expression" dxfId="66" priority="107">
      <formula>AND($G$19="",$K$19="該 当")</formula>
    </cfRule>
    <cfRule type="expression" dxfId="65" priority="108">
      <formula>AND(LEFT(O19,1)="6",K19="該 当",Q19&lt;&gt;P19)</formula>
    </cfRule>
  </conditionalFormatting>
  <conditionalFormatting sqref="K20">
    <cfRule type="expression" dxfId="64" priority="109">
      <formula>AND($G$20="",$K$20="該 当")</formula>
    </cfRule>
    <cfRule type="expression" dxfId="63" priority="110">
      <formula>AND(LEFT(O20,1)="6",K20="該 当",Q20&lt;&gt;P20)</formula>
    </cfRule>
  </conditionalFormatting>
  <conditionalFormatting sqref="K21">
    <cfRule type="expression" dxfId="62" priority="111">
      <formula>AND($G$21="",$K$21="該 当")</formula>
    </cfRule>
    <cfRule type="expression" dxfId="61" priority="112">
      <formula>AND(LEFT(O21,1)="6",K21="該 当",Q21&lt;&gt;P21)</formula>
    </cfRule>
  </conditionalFormatting>
  <conditionalFormatting sqref="K22">
    <cfRule type="expression" dxfId="60" priority="113">
      <formula>AND($G$22="",$K$22="該 当")</formula>
    </cfRule>
    <cfRule type="expression" dxfId="59" priority="114">
      <formula>AND(LEFT(O22,1)="6",K22="該 当",Q22&lt;&gt;P22)</formula>
    </cfRule>
  </conditionalFormatting>
  <conditionalFormatting sqref="K23">
    <cfRule type="expression" dxfId="58" priority="116">
      <formula>AND(LEFT(O23,1)="6",K23="該 当",Q23&lt;&gt;P23)</formula>
    </cfRule>
    <cfRule type="expression" dxfId="57" priority="115">
      <formula>AND($G$23="",$K$23="該 当")</formula>
    </cfRule>
  </conditionalFormatting>
  <conditionalFormatting sqref="S16:AD16 AF16">
    <cfRule type="expression" dxfId="56" priority="140">
      <formula>AND($H$25&lt;&gt;"",$C$19="全員申告済み")</formula>
    </cfRule>
  </conditionalFormatting>
  <dataValidations count="12">
    <dataValidation type="list" allowBlank="1" showInputMessage="1" showErrorMessage="1" sqref="C19:C21" xr:uid="{00000000-0002-0000-0000-000000000000}">
      <formula1>"全員申告済み,未申告者有り"</formula1>
    </dataValidation>
    <dataValidation showDropDown="1" showErrorMessage="1" sqref="C15" xr:uid="{00000000-0002-0000-0000-000001000000}"/>
    <dataValidation type="whole" imeMode="off" operator="greaterThanOrEqual" allowBlank="1" showInputMessage="1" showErrorMessage="1" sqref="J16:J23 G16:H23" xr:uid="{00000000-0002-0000-0000-000002000000}">
      <formula1>1</formula1>
    </dataValidation>
    <dataValidation allowBlank="1" showErrorMessage="1" promptTitle="主区分を選択" prompt="擬主とは、世帯主は社会保険等に加入しているが世帯員が国保に加入している場合に選択してください。" sqref="E16" xr:uid="{00000000-0002-0000-0000-000003000000}"/>
    <dataValidation type="list" allowBlank="1" showDropDown="1" showInputMessage="1" showErrorMessage="1" sqref="T57" xr:uid="{00000000-0002-0000-0000-000004000000}">
      <formula1>$T$57:$T$58</formula1>
    </dataValidation>
    <dataValidation type="whole" imeMode="off" operator="notEqual" allowBlank="1" showInputMessage="1" showErrorMessage="1" sqref="I16:I23" xr:uid="{00000000-0002-0000-0000-000005000000}">
      <formula1>0</formula1>
    </dataValidation>
    <dataValidation type="list" operator="greaterThanOrEqual" allowBlank="1" showInputMessage="1" showErrorMessage="1" prompt="非自発的失業軽減を該当したい場合、「該当」を選択" sqref="K16:K23" xr:uid="{00000000-0002-0000-0000-000006000000}">
      <formula1>"該 当"</formula1>
    </dataValidation>
    <dataValidation type="list" allowBlank="1" showInputMessage="1" showErrorMessage="1" sqref="C16:C17" xr:uid="{00000000-0002-0000-0000-000007000000}">
      <formula1>"国　保,社保等"</formula1>
    </dataValidation>
    <dataValidation type="list" allowBlank="1" showInputMessage="1" showErrorMessage="1" sqref="C25:C26" xr:uid="{00000000-0002-0000-0000-000008000000}">
      <formula1>"軽減なし,1/2軽減,1/4軽減"</formula1>
    </dataValidation>
    <dataValidation type="list" operator="greaterThanOrEqual" allowBlank="1" showInputMessage="1" showErrorMessage="1" promptTitle="年度途中に加入する場合入力" prompt="年度当初から加入する場合は入力不要です。" sqref="L16:L23" xr:uid="{00000000-0002-0000-0000-000009000000}">
      <formula1>"5,6,7,8,9,10,11,12,1,2,3"</formula1>
    </dataValidation>
    <dataValidation type="date" imeMode="off" operator="greaterThanOrEqual" allowBlank="1" showInputMessage="1" showErrorMessage="1" errorTitle="入力値エラー" error="西暦で入力した場合、年月日は「/」で、_x000a_和暦で入力した場合、年月日は「.」で入力してください。" prompt="和暦もしくは西暦で入力" sqref="F16:F23" xr:uid="{00000000-0002-0000-0000-00000A000000}">
      <formula1>9498</formula1>
    </dataValidation>
    <dataValidation type="list" operator="greaterThanOrEqual" allowBlank="1" showInputMessage="1" showErrorMessage="1" promptTitle="年度途中に脱退する場合入力" prompt="年度末まで加入する場合は入力不要です。" sqref="M16:M23" xr:uid="{00000000-0002-0000-0000-00000B000000}">
      <formula1>"5,6,7,8,9,10,11,12,1,2,3"</formula1>
    </dataValidation>
  </dataValidations>
  <pageMargins left="0.47244094488188981" right="0.43307086614173229" top="1.07" bottom="0.23622047244094491" header="0.51181102362204722" footer="0.15748031496062992"/>
  <pageSetup paperSize="9" scale="71" fitToHeight="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1" r:id="rId4" name="ボタン 7">
              <controlPr defaultSize="0" print="0" autoFill="0" autoPict="0">
                <anchor moveWithCells="1" sizeWithCells="1">
                  <from>
                    <xdr:col>1</xdr:col>
                    <xdr:colOff>152400</xdr:colOff>
                    <xdr:row>27</xdr:row>
                    <xdr:rowOff>28575</xdr:rowOff>
                  </from>
                  <to>
                    <xdr:col>2</xdr:col>
                    <xdr:colOff>390525</xdr:colOff>
                    <xdr:row>29</xdr:row>
                    <xdr:rowOff>104775</xdr:rowOff>
                  </to>
                </anchor>
              </controlPr>
            </control>
          </mc:Choice>
        </mc:AlternateContent>
        <mc:AlternateContent xmlns:mc="http://schemas.openxmlformats.org/markup-compatibility/2006">
          <mc:Choice Requires="x14">
            <control shapeId="1082" r:id="rId5" name="ボタン 58">
              <controlPr defaultSize="0" print="0" autoFill="0" autoPict="0">
                <anchor moveWithCells="1" sizeWithCells="1">
                  <from>
                    <xdr:col>16</xdr:col>
                    <xdr:colOff>152400</xdr:colOff>
                    <xdr:row>26</xdr:row>
                    <xdr:rowOff>66675</xdr:rowOff>
                  </from>
                  <to>
                    <xdr:col>20</xdr:col>
                    <xdr:colOff>142875</xdr:colOff>
                    <xdr:row>28</xdr:row>
                    <xdr:rowOff>123825</xdr:rowOff>
                  </to>
                </anchor>
              </controlPr>
            </control>
          </mc:Choice>
        </mc:AlternateContent>
        <mc:AlternateContent xmlns:mc="http://schemas.openxmlformats.org/markup-compatibility/2006">
          <mc:Choice Requires="x14">
            <control shapeId="1091" r:id="rId6" name="ボタン 67">
              <controlPr defaultSize="0" print="0" autoFill="0" autoPict="0">
                <anchor moveWithCells="1" sizeWithCells="1">
                  <from>
                    <xdr:col>24</xdr:col>
                    <xdr:colOff>142875</xdr:colOff>
                    <xdr:row>26</xdr:row>
                    <xdr:rowOff>57150</xdr:rowOff>
                  </from>
                  <to>
                    <xdr:col>30</xdr:col>
                    <xdr:colOff>28575</xdr:colOff>
                    <xdr:row>28</xdr:row>
                    <xdr:rowOff>114300</xdr:rowOff>
                  </to>
                </anchor>
              </controlPr>
            </control>
          </mc:Choice>
        </mc:AlternateContent>
        <mc:AlternateContent xmlns:mc="http://schemas.openxmlformats.org/markup-compatibility/2006">
          <mc:Choice Requires="x14">
            <control shapeId="1101" r:id="rId7" name="ボタン 77">
              <controlPr defaultSize="0" print="0" autoFill="0" autoPict="0">
                <anchor moveWithCells="1" sizeWithCells="1">
                  <from>
                    <xdr:col>24</xdr:col>
                    <xdr:colOff>152400</xdr:colOff>
                    <xdr:row>29</xdr:row>
                    <xdr:rowOff>114300</xdr:rowOff>
                  </from>
                  <to>
                    <xdr:col>30</xdr:col>
                    <xdr:colOff>38100</xdr:colOff>
                    <xdr:row>33</xdr:row>
                    <xdr:rowOff>142875</xdr:rowOff>
                  </to>
                </anchor>
              </controlPr>
            </control>
          </mc:Choice>
        </mc:AlternateContent>
        <mc:AlternateContent xmlns:mc="http://schemas.openxmlformats.org/markup-compatibility/2006">
          <mc:Choice Requires="x14">
            <control shapeId="1105" r:id="rId8" name="ボタン 81">
              <controlPr defaultSize="0" print="0" autoFill="0" autoPict="0">
                <anchor moveWithCells="1" sizeWithCells="1">
                  <from>
                    <xdr:col>1</xdr:col>
                    <xdr:colOff>381000</xdr:colOff>
                    <xdr:row>12</xdr:row>
                    <xdr:rowOff>104775</xdr:rowOff>
                  </from>
                  <to>
                    <xdr:col>2</xdr:col>
                    <xdr:colOff>514350</xdr:colOff>
                    <xdr:row>14</xdr:row>
                    <xdr:rowOff>76200</xdr:rowOff>
                  </to>
                </anchor>
              </controlPr>
            </control>
          </mc:Choice>
        </mc:AlternateContent>
        <mc:AlternateContent xmlns:mc="http://schemas.openxmlformats.org/markup-compatibility/2006">
          <mc:Choice Requires="x14">
            <control shapeId="1109" r:id="rId9" name="ボタン 85">
              <controlPr defaultSize="0" print="0" autoFill="0" autoPict="0">
                <anchor moveWithCells="1" sizeWithCells="1">
                  <from>
                    <xdr:col>1</xdr:col>
                    <xdr:colOff>419100</xdr:colOff>
                    <xdr:row>14</xdr:row>
                    <xdr:rowOff>133350</xdr:rowOff>
                  </from>
                  <to>
                    <xdr:col>2</xdr:col>
                    <xdr:colOff>495300</xdr:colOff>
                    <xdr:row>14</xdr:row>
                    <xdr:rowOff>333375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41" id="{718A1C18-7964-4583-B004-011E7787BC45}">
            <xm:f>AND($H$25&lt;&gt;"",$C$19="全員申告済み",計算!$BB$6=計算!$BB$20)</xm:f>
            <x14:dxf>
              <fill>
                <patternFill patternType="solid">
                  <bgColor rgb="FFFFFF00"/>
                </patternFill>
              </fill>
            </x14:dxf>
          </x14:cfRule>
          <xm:sqref>S17:AD17 AF17</xm:sqref>
        </x14:conditionalFormatting>
        <x14:conditionalFormatting xmlns:xm="http://schemas.microsoft.com/office/excel/2006/main">
          <x14:cfRule type="expression" priority="142" id="{E17CD700-1223-4268-BC0A-8E8C695D0421}">
            <xm:f>AND($H$25&lt;&gt;"",$C$19="全員申告済み",計算!$BB$8=計算!$BB$20)</xm:f>
            <x14:dxf>
              <fill>
                <patternFill patternType="solid">
                  <bgColor rgb="FFFFFF00"/>
                </patternFill>
              </fill>
            </x14:dxf>
          </x14:cfRule>
          <xm:sqref>S18:AD18 AF18</xm:sqref>
        </x14:conditionalFormatting>
        <x14:conditionalFormatting xmlns:xm="http://schemas.microsoft.com/office/excel/2006/main">
          <x14:cfRule type="expression" priority="143" id="{F8CD58EE-FBA5-4C5A-8818-159168186717}">
            <xm:f>AND($H$25&lt;&gt;"",$C$19="全員申告済み",計算!$BB$10=計算!$BB$20)</xm:f>
            <x14:dxf>
              <fill>
                <patternFill patternType="solid">
                  <bgColor rgb="FFFFFF00"/>
                </patternFill>
              </fill>
            </x14:dxf>
          </x14:cfRule>
          <xm:sqref>S19:AD19 AF19</xm:sqref>
        </x14:conditionalFormatting>
        <x14:conditionalFormatting xmlns:xm="http://schemas.microsoft.com/office/excel/2006/main">
          <x14:cfRule type="expression" priority="144" id="{A7BBD18B-142E-441A-B6A5-722156C1D322}">
            <xm:f>AND($H$25&lt;&gt;"",$C$19="全員申告済み",計算!$BB$12=計算!$BB$20)</xm:f>
            <x14:dxf>
              <fill>
                <patternFill patternType="solid">
                  <bgColor rgb="FFFFFF00"/>
                </patternFill>
              </fill>
            </x14:dxf>
          </x14:cfRule>
          <xm:sqref>S20:AD20 AF20</xm:sqref>
        </x14:conditionalFormatting>
        <x14:conditionalFormatting xmlns:xm="http://schemas.microsoft.com/office/excel/2006/main">
          <x14:cfRule type="expression" priority="145" id="{E8E7BCAD-938E-45E4-8C56-B37850860E39}">
            <xm:f>AND($H$25&lt;&gt;"",$C$19="全員申告済み",計算!$BB$14=計算!$BB$20)</xm:f>
            <x14:dxf>
              <fill>
                <patternFill patternType="solid">
                  <bgColor rgb="FFFFFF00"/>
                </patternFill>
              </fill>
            </x14:dxf>
          </x14:cfRule>
          <xm:sqref>S21:AD21 AF21</xm:sqref>
        </x14:conditionalFormatting>
        <x14:conditionalFormatting xmlns:xm="http://schemas.microsoft.com/office/excel/2006/main">
          <x14:cfRule type="expression" priority="146" id="{B70575BA-0A5F-4F94-B3BA-24B8DC7592AD}">
            <xm:f>AND($H$25&lt;&gt;"",$C$19="全員申告済み",計算!$BB$16=計算!$BB$20)</xm:f>
            <x14:dxf>
              <fill>
                <patternFill patternType="solid">
                  <bgColor rgb="FFFFFF00"/>
                </patternFill>
              </fill>
            </x14:dxf>
          </x14:cfRule>
          <xm:sqref>S22:AD22 AF22</xm:sqref>
        </x14:conditionalFormatting>
        <x14:conditionalFormatting xmlns:xm="http://schemas.microsoft.com/office/excel/2006/main">
          <x14:cfRule type="expression" priority="147" id="{1A07B90F-9CA8-4F6A-9675-BFD23623C75B}">
            <xm:f>AND($H$25&lt;&gt;"",$C$19="全員申告済み",計算!$BB$18=計算!$BB$20)</xm:f>
            <x14:dxf>
              <fill>
                <patternFill patternType="solid">
                  <bgColor rgb="FFFFFF00"/>
                </patternFill>
              </fill>
            </x14:dxf>
          </x14:cfRule>
          <xm:sqref>S23:AD23 AF23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S142"/>
  <sheetViews>
    <sheetView topLeftCell="J1" zoomScale="90" zoomScaleNormal="90" zoomScaleSheetLayoutView="80" workbookViewId="0"/>
  </sheetViews>
  <sheetFormatPr defaultRowHeight="13.5" x14ac:dyDescent="0.15"/>
  <cols>
    <col min="1" max="1" width="3.375" style="1" customWidth="1"/>
    <col min="2" max="2" width="9" style="1" customWidth="1"/>
    <col min="3" max="3" width="9.375" style="1" customWidth="1"/>
    <col min="4" max="4" width="10.625" style="1" customWidth="1"/>
    <col min="5" max="5" width="10.125" style="1" customWidth="1"/>
    <col min="6" max="6" width="12.375" style="1" customWidth="1"/>
    <col min="7" max="7" width="11.875" style="1" customWidth="1"/>
    <col min="8" max="8" width="11.375" style="1" customWidth="1"/>
    <col min="9" max="11" width="11.25" style="1" customWidth="1"/>
    <col min="12" max="14" width="12.125" style="1" customWidth="1"/>
    <col min="15" max="15" width="10.25" style="1" customWidth="1"/>
    <col min="16" max="16" width="10" style="1" customWidth="1"/>
    <col min="17" max="17" width="9.75" style="1" customWidth="1"/>
    <col min="18" max="19" width="5.625" style="1" customWidth="1"/>
    <col min="20" max="20" width="10.25" style="1" customWidth="1"/>
    <col min="21" max="24" width="8.625" style="1" customWidth="1"/>
    <col min="25" max="25" width="10.25" style="1" customWidth="1"/>
    <col min="26" max="29" width="8.625" style="1" customWidth="1"/>
    <col min="30" max="30" width="10.25" style="1" customWidth="1"/>
    <col min="31" max="39" width="8.625" style="1" customWidth="1"/>
    <col min="40" max="52" width="3.5" style="1" customWidth="1"/>
    <col min="53" max="53" width="3.75" style="1" customWidth="1"/>
    <col min="54" max="54" width="6.125" style="1" customWidth="1"/>
    <col min="55" max="55" width="9" style="1" customWidth="1"/>
    <col min="56" max="56" width="14" style="1" customWidth="1"/>
    <col min="57" max="68" width="10.625" style="1" customWidth="1"/>
    <col min="69" max="69" width="12.125" style="1" bestFit="1" customWidth="1"/>
    <col min="70" max="70" width="13.25" style="1" bestFit="1" customWidth="1"/>
    <col min="71" max="71" width="9" style="1" customWidth="1"/>
    <col min="72" max="16384" width="9" style="1"/>
  </cols>
  <sheetData>
    <row r="1" spans="1:70" ht="23.25" customHeight="1" x14ac:dyDescent="0.15">
      <c r="A1" s="1" t="s">
        <v>123</v>
      </c>
      <c r="T1" s="119" t="str">
        <f>"令和"&amp;DBCS(税率・条件!C1)&amp;"年度税率で計算（加入者全員が年間加入の場合で計算。端数調整前。）"</f>
        <v>令和８年度税率で計算（加入者全員が年間加入の場合で計算。端数調整前。）</v>
      </c>
      <c r="BD1" s="119" t="s">
        <v>50</v>
      </c>
    </row>
    <row r="2" spans="1:70" ht="37.5" customHeight="1" x14ac:dyDescent="0.15">
      <c r="A2" s="363"/>
      <c r="B2" s="363" t="s">
        <v>66</v>
      </c>
      <c r="C2" s="283" t="s">
        <v>0</v>
      </c>
      <c r="D2" s="284"/>
      <c r="E2" s="284"/>
      <c r="F2" s="284"/>
      <c r="G2" s="284"/>
      <c r="H2" s="285"/>
      <c r="I2" s="286" t="s">
        <v>67</v>
      </c>
      <c r="J2" s="284"/>
      <c r="K2" s="284"/>
      <c r="L2" s="285"/>
      <c r="M2" s="365" t="s">
        <v>24</v>
      </c>
      <c r="N2" s="367" t="s">
        <v>40</v>
      </c>
      <c r="O2" s="369" t="s">
        <v>113</v>
      </c>
      <c r="P2" s="371" t="s">
        <v>9</v>
      </c>
      <c r="Q2" s="373" t="s">
        <v>120</v>
      </c>
      <c r="R2" s="375" t="s">
        <v>14</v>
      </c>
      <c r="S2" s="377" t="s">
        <v>90</v>
      </c>
      <c r="T2" s="287" t="s">
        <v>18</v>
      </c>
      <c r="U2" s="288"/>
      <c r="V2" s="288"/>
      <c r="W2" s="288"/>
      <c r="X2" s="289"/>
      <c r="Y2" s="290" t="s">
        <v>100</v>
      </c>
      <c r="Z2" s="288"/>
      <c r="AA2" s="288"/>
      <c r="AB2" s="288"/>
      <c r="AC2" s="289"/>
      <c r="AD2" s="290" t="s">
        <v>16</v>
      </c>
      <c r="AE2" s="288"/>
      <c r="AF2" s="288"/>
      <c r="AG2" s="288"/>
      <c r="AH2" s="289"/>
      <c r="AI2" s="290" t="s">
        <v>78</v>
      </c>
      <c r="AJ2" s="288"/>
      <c r="AK2" s="288"/>
      <c r="AL2" s="288"/>
      <c r="AM2" s="289"/>
      <c r="AN2" s="291" t="s">
        <v>213</v>
      </c>
      <c r="AO2" s="292"/>
      <c r="AP2" s="292"/>
      <c r="AQ2" s="292"/>
      <c r="AR2" s="292"/>
      <c r="AS2" s="292"/>
      <c r="AT2" s="292"/>
      <c r="AU2" s="292"/>
      <c r="AV2" s="292"/>
      <c r="AW2" s="292"/>
      <c r="AX2" s="292"/>
      <c r="AY2" s="292"/>
      <c r="AZ2" s="293"/>
      <c r="BB2" s="379" t="s">
        <v>146</v>
      </c>
      <c r="BD2" s="1" t="s">
        <v>187</v>
      </c>
    </row>
    <row r="3" spans="1:70" ht="37.5" customHeight="1" x14ac:dyDescent="0.15">
      <c r="A3" s="364"/>
      <c r="B3" s="364"/>
      <c r="C3" s="104" t="s">
        <v>114</v>
      </c>
      <c r="D3" s="109" t="s">
        <v>38</v>
      </c>
      <c r="E3" s="111" t="s">
        <v>115</v>
      </c>
      <c r="F3" s="101" t="s">
        <v>6</v>
      </c>
      <c r="G3" s="113" t="s">
        <v>126</v>
      </c>
      <c r="H3" s="114" t="s">
        <v>125</v>
      </c>
      <c r="I3" s="115" t="s">
        <v>35</v>
      </c>
      <c r="J3" s="109" t="s">
        <v>30</v>
      </c>
      <c r="K3" s="109" t="s">
        <v>19</v>
      </c>
      <c r="L3" s="118" t="s">
        <v>42</v>
      </c>
      <c r="M3" s="366"/>
      <c r="N3" s="368"/>
      <c r="O3" s="370"/>
      <c r="P3" s="372"/>
      <c r="Q3" s="374"/>
      <c r="R3" s="376"/>
      <c r="S3" s="378"/>
      <c r="T3" s="142" t="s">
        <v>46</v>
      </c>
      <c r="U3" s="143" t="s">
        <v>49</v>
      </c>
      <c r="V3" s="143" t="s">
        <v>52</v>
      </c>
      <c r="W3" s="143" t="s">
        <v>53</v>
      </c>
      <c r="X3" s="147" t="s">
        <v>56</v>
      </c>
      <c r="Y3" s="154" t="s">
        <v>46</v>
      </c>
      <c r="Z3" s="143" t="s">
        <v>49</v>
      </c>
      <c r="AA3" s="143" t="s">
        <v>52</v>
      </c>
      <c r="AB3" s="143" t="s">
        <v>53</v>
      </c>
      <c r="AC3" s="147" t="s">
        <v>56</v>
      </c>
      <c r="AD3" s="154" t="s">
        <v>46</v>
      </c>
      <c r="AE3" s="143" t="s">
        <v>49</v>
      </c>
      <c r="AF3" s="143" t="s">
        <v>52</v>
      </c>
      <c r="AG3" s="143" t="s">
        <v>53</v>
      </c>
      <c r="AH3" s="147" t="s">
        <v>56</v>
      </c>
      <c r="AI3" s="154" t="s">
        <v>46</v>
      </c>
      <c r="AJ3" s="143" t="s">
        <v>49</v>
      </c>
      <c r="AK3" s="143" t="s">
        <v>52</v>
      </c>
      <c r="AL3" s="143" t="s">
        <v>53</v>
      </c>
      <c r="AM3" s="147" t="s">
        <v>56</v>
      </c>
      <c r="AN3" s="115" t="s">
        <v>56</v>
      </c>
      <c r="AO3" s="109">
        <v>4</v>
      </c>
      <c r="AP3" s="109">
        <v>5</v>
      </c>
      <c r="AQ3" s="109">
        <v>6</v>
      </c>
      <c r="AR3" s="109">
        <v>7</v>
      </c>
      <c r="AS3" s="109">
        <v>8</v>
      </c>
      <c r="AT3" s="109">
        <v>9</v>
      </c>
      <c r="AU3" s="109">
        <v>10</v>
      </c>
      <c r="AV3" s="109">
        <v>11</v>
      </c>
      <c r="AW3" s="109">
        <v>12</v>
      </c>
      <c r="AX3" s="109">
        <v>1</v>
      </c>
      <c r="AY3" s="109">
        <v>2</v>
      </c>
      <c r="AZ3" s="198">
        <v>3</v>
      </c>
      <c r="BB3" s="380"/>
      <c r="BD3" s="208"/>
      <c r="BE3" s="215">
        <v>4</v>
      </c>
      <c r="BF3" s="215">
        <v>5</v>
      </c>
      <c r="BG3" s="215">
        <v>6</v>
      </c>
      <c r="BH3" s="215">
        <v>7</v>
      </c>
      <c r="BI3" s="215">
        <v>8</v>
      </c>
      <c r="BJ3" s="215">
        <v>9</v>
      </c>
      <c r="BK3" s="215">
        <v>10</v>
      </c>
      <c r="BL3" s="215">
        <v>11</v>
      </c>
      <c r="BM3" s="215">
        <v>12</v>
      </c>
      <c r="BN3" s="215">
        <v>1</v>
      </c>
      <c r="BO3" s="215">
        <v>2</v>
      </c>
      <c r="BP3" s="215">
        <v>3</v>
      </c>
      <c r="BQ3" s="227" t="s">
        <v>182</v>
      </c>
      <c r="BR3" s="227" t="s">
        <v>183</v>
      </c>
    </row>
    <row r="4" spans="1:70" ht="18.95" customHeight="1" x14ac:dyDescent="0.15">
      <c r="A4" s="381" t="str">
        <f>IF(LEFT(入力!E16,1)="世","主",LEFT(入力!E16,1))</f>
        <v>主</v>
      </c>
      <c r="B4" s="383" t="str">
        <f>IF(入力!F16="","",IF(入力!F16&lt;=DATE(税率・条件!C1+1953,1,1),"65歳以上",IF(入力!F16&gt;DATE(税率・条件!C1+2012,4,1),"未就学",IF(入力!F16&gt;DATE(税率・条件!C1+2000,4,1),"18歳未満","一般"))))</f>
        <v/>
      </c>
      <c r="C4" s="384" t="str">
        <f>IF(D4="","",IF(AND(入力!E16&lt;&gt;"擬　主",入力!K16="該 当"),"該当","非該当"))</f>
        <v/>
      </c>
      <c r="D4" s="306" t="str">
        <f>IF(入力!G16="","",ROUNDDOWN(VLOOKUP(入力!G16,$B$24:$J$30,2,1)*IF(AND(入力!E16&lt;&gt;"擬　主",入力!K16="該 当"),0.3,1),0))</f>
        <v/>
      </c>
      <c r="E4" s="306" t="str">
        <f>IF(D4="","",IF(OR(D4="",K4=""),0,IF(D4+K4&lt;100000,0,IF(D4&lt;100000,D4,100000)+IF(K4&lt;100000,K4,100000)-100000)))</f>
        <v/>
      </c>
      <c r="F4" s="306" t="str">
        <f>IF(D4="","",D4-E4)</f>
        <v/>
      </c>
      <c r="G4" s="386" t="str">
        <f>IF(D4="","",IF(OR(D4="",L4=""),0,IF(D4+L4&lt;100000,0,IF(D4&lt;100000,D4,100000)+IF(L4&lt;100000,L4,100000)-100000)))</f>
        <v/>
      </c>
      <c r="H4" s="307" t="str">
        <f>IF(D4="","",D4-G4)</f>
        <v/>
      </c>
      <c r="I4" s="311" t="str">
        <f>IF(入力!H16="","",IF(B4="65歳以上",VLOOKUP(入力!H16,$B$43:$D$47,2,1),VLOOKUP(入力!H16,$B$35:$D$39,2,1)))</f>
        <v/>
      </c>
      <c r="J4" s="306" t="str">
        <f>IF(I4="","",IF(B4="65歳以上",VLOOKUP(入力!H16,$B$43:$D$47,3,1),VLOOKUP(入力!H16,$B$35:$D$39,3,1)))</f>
        <v/>
      </c>
      <c r="K4" s="306" t="str">
        <f>IF(I4="","",IF(入力!H16*計算!I4/100-計算!J4&lt;0,0,ROUNDDOWN(入力!H16*計算!I4/100-計算!J4,0)))</f>
        <v/>
      </c>
      <c r="L4" s="307" t="str">
        <f>IF(K4="","",IF(B4="65歳以上",IF(K4&lt;税率・条件!$G$9,0,K4-税率・条件!$G$9),K4))</f>
        <v/>
      </c>
      <c r="M4" s="309" t="str">
        <f>IF(入力!I16="","",入力!I16)</f>
        <v/>
      </c>
      <c r="N4" s="311" t="str">
        <f>IF(入力!F16="","",SUM(F4,K4,M4))</f>
        <v/>
      </c>
      <c r="O4" s="306" t="str">
        <f>IF(入力!F16="","",IF(入力!P16&lt;&gt;"",IF(計算!N4-430000&gt;0,計算!N4-430000,0),""))</f>
        <v/>
      </c>
      <c r="P4" s="312" t="str">
        <f>IF(入力!F16="","",IF(入力!Q16&lt;&gt;"",IF(計算!N4-430000&gt;0,計算!N4-430000,0),""))</f>
        <v/>
      </c>
      <c r="Q4" s="314" t="str">
        <f>IF(N4="","",SUM(H4,L4,M4))</f>
        <v/>
      </c>
      <c r="R4" s="316" t="str">
        <f>IF(AND(D4="",K4=""),"",IF(OR(入力!G16&gt;税率・条件!K5,AND(B4="65歳以上",入力!H16&gt;税率・条件!K7),AND(B4&lt;&gt;"65歳以上",入力!H16&gt;税率・条件!K6)),1,""))</f>
        <v/>
      </c>
      <c r="S4" s="318" t="str">
        <f>IF(N4="","",IF(AND(入力!$H$25&lt;&gt;"",入力!$C$19="全員申告済み",$BB$4=$BB$20),"該当",""))</f>
        <v/>
      </c>
      <c r="T4" s="388" t="str">
        <f>IF($O4="","",ROUNDDOWN($O4*税率・条件!$C$4/100,0))</f>
        <v/>
      </c>
      <c r="U4" s="302" t="str">
        <f>IF(入力!$P16="","",ROUNDDOWN(入力!$J16*税率・条件!$C$5/100,0))</f>
        <v/>
      </c>
      <c r="V4" s="302" t="str">
        <f>IF(入力!$P16="","",ROUNDDOWN(税率・条件!$C$6*(100%-IF(B4="未就学",税率・条件!$H$11,0%))*(100%-$M$34),0))</f>
        <v/>
      </c>
      <c r="W4" s="302" t="str">
        <f>IF(COUNT(入力!$P$16:$P$23)&gt;0,ROUNDDOWN(税率・条件!$C$7*(100%-$M$34)*IF(入力!$C$25="1/2軽減",0.5,IF(入力!$C$25="1/4軽減",0.75,1)),0),"")</f>
        <v/>
      </c>
      <c r="X4" s="304" t="str">
        <f>IF(SUM(T4:W4)&gt;0,SUM(T4:W4),"")</f>
        <v/>
      </c>
      <c r="Y4" s="300" t="str">
        <f>IF($O4="","",ROUNDDOWN($O4*税率・条件!$C$9/100,0))</f>
        <v/>
      </c>
      <c r="Z4" s="302" t="str">
        <f>IF(入力!$P16="","",ROUNDDOWN(入力!$J16*税率・条件!$C$10/100,0))</f>
        <v/>
      </c>
      <c r="AA4" s="302" t="str">
        <f>IF(入力!$P16="","",ROUNDDOWN(税率・条件!$C$11*(100%-IF(B4="未就学",税率・条件!$H$11,0%))*(100%-$M$34),0))</f>
        <v/>
      </c>
      <c r="AB4" s="302" t="str">
        <f>IF(COUNT(入力!$P$16:$P$23)&gt;0,ROUNDDOWN(税率・条件!$C$12*(100%-$M$34)*IF(入力!$C$25="1/2軽減",0.5,IF(入力!$C$25="1/4軽減",0.75,1)),0),"")</f>
        <v/>
      </c>
      <c r="AC4" s="304" t="str">
        <f>IF(SUM(Y4:AB4)&gt;0,SUM(Y4:AB4),"")</f>
        <v/>
      </c>
      <c r="AD4" s="300" t="str">
        <f>IF($P4="","",ROUNDDOWN($P4*税率・条件!$C$14/100,0))</f>
        <v/>
      </c>
      <c r="AE4" s="302" t="str">
        <f>IF(入力!$Q16="","",ROUNDDOWN(入力!$J16*税率・条件!$C$15/100,0))</f>
        <v/>
      </c>
      <c r="AF4" s="302" t="str">
        <f>IF(入力!$Q16="","",ROUNDDOWN(税率・条件!$C$16*(100%-$M$34),0))</f>
        <v/>
      </c>
      <c r="AG4" s="302" t="str">
        <f>IF(COUNT(入力!$Q$16:$Q$23)&gt;0,ROUNDDOWN(税率・条件!$C$17*(100%-$M$34),0),"")</f>
        <v/>
      </c>
      <c r="AH4" s="304" t="str">
        <f>IF(SUM(AD4:AG4)&gt;0,SUM(AD4:AG4),"")</f>
        <v/>
      </c>
      <c r="AI4" s="300" t="str">
        <f>IF($O4="","",ROUNDDOWN($O4*税率・条件!$C$19/100,0))</f>
        <v/>
      </c>
      <c r="AJ4" s="302" t="str">
        <f>IF(入力!$P16="","",ROUNDDOWN(入力!$J16*税率・条件!$C$20/100,0))</f>
        <v/>
      </c>
      <c r="AK4" s="302" t="str">
        <f>IF(入力!$P16="","",ROUNDDOWN(IF(OR(B4="18歳未満",B4="未就学"),0,税率・条件!$C$21)*(100%-$M$34),0))</f>
        <v/>
      </c>
      <c r="AL4" s="302" t="str">
        <f>IF(COUNT(入力!$P$16:$P$23)&gt;0,ROUNDDOWN(税率・条件!$C$22*(100%-$M$34)*IF(入力!$C$25="1/2軽減",0.5,IF(入力!$C$25="1/4軽減",0.75,1)),0),"")</f>
        <v/>
      </c>
      <c r="AM4" s="304" t="str">
        <f>IF(SUM(AI4:AL4)&gt;0,SUM(AI4:AL4),"")</f>
        <v/>
      </c>
      <c r="AN4" s="188" t="str">
        <f>IF(入力!$F$16="","",IF(入力!C16="社保等","",COUNTIF(AO4:AZ4,"●")+COUNTIF(AO4:AZ4,"▲")))</f>
        <v/>
      </c>
      <c r="AO4" s="192" t="str">
        <f>IF(入力!$F$16="","",IF(入力!C16="社保等","",IF(入力!$F$16&gt;=DATE(税率・条件!$C$1+2018,計算!AO$3+1,1),"",IF(入力!$F$16&gt;=DATE(税率・条件!$C$1+2018-75,計算!AO$3+1,1),IF(OR(AND(入力!L16="",OR(入力!M16="",入力!M16&gt;4,入力!M16&lt;4)),AND(入力!L16=4,OR(入力!M16="",入力!M16&gt;4,入力!M16&lt;4))),IF(OR(B4="未就学",B4="18歳未満"),"▲","●"),""),""))))</f>
        <v/>
      </c>
      <c r="AP4" s="192" t="str">
        <f>IF(入力!$F$16="","",IF(入力!C16="社保等","",IF(入力!$F$16&gt;=DATE(税率・条件!$C$1+2018,計算!AP$3+1,1),"",IF(入力!$F$16&gt;=DATE(税率・条件!$C$1+2018-75,計算!AP$3+1,1),IF(OR(AND(入力!L16="",OR(入力!M16="",入力!M16&gt;5,入力!M16&lt;4)),AND(入力!L16=4,OR(入力!M16="",入力!M16&gt;5,入力!M16&lt;4)),AND(入力!L16=5,OR(入力!M16="",入力!M16&gt;5,入力!M16&lt;4))),IF(OR(B4="未就学",B4="18歳未満"),"▲","●"),""),""))))</f>
        <v/>
      </c>
      <c r="AQ4" s="192" t="str">
        <f>IF(入力!$F$16="","",IF(入力!C16="社保等","",IF(入力!$F$16&gt;=DATE(税率・条件!$C$1+2018,計算!AQ$3+1,1),"",IF(入力!$F$16&gt;=DATE(税率・条件!$C$1+2018-75,計算!AQ$3+1,1),IF(OR(AND(入力!L16="",OR(入力!M16="",入力!M16&gt;6,入力!M16&lt;4)),AND(入力!L16=4,OR(入力!M16="",入力!M16&gt;6,入力!M16&lt;4)),AND(入力!L16=5,OR(入力!M16="",入力!M16&gt;6,入力!M16&lt;4)),AND(入力!L16=6,OR(入力!M16="",入力!M16&gt;6,入力!M16&lt;4))),IF(OR(B4="未就学",B4="18歳未満"),"▲","●"),""),""))))</f>
        <v/>
      </c>
      <c r="AR4" s="192" t="str">
        <f>IF(入力!$F$16="","",IF(入力!C16="社保等","",IF(入力!$F$16&gt;=DATE(税率・条件!$C$1+2018,計算!AR$3+1,1),"",IF(入力!$F$16&gt;=DATE(税率・条件!$C$1+2018-75,計算!AR$3+1,1),IF(OR(AND(入力!L16="",OR(入力!M16="",入力!M16&gt;7,入力!M16&lt;4)),AND(入力!L16=4,OR(入力!M16="",入力!M16&gt;7,入力!M16&lt;4)),AND(入力!L16=5,OR(入力!M16="",入力!M16&gt;7,入力!M16&lt;4)),AND(入力!L16=6,OR(入力!M16="",入力!M16&gt;7,入力!M16&lt;4)),AND(入力!L16=7,OR(入力!M16="",入力!M16&gt;7,入力!M16&lt;4))),IF(OR(B4="未就学",B4="18歳未満"),"▲","●"),""),""))))</f>
        <v/>
      </c>
      <c r="AS4" s="192" t="str">
        <f>IF(入力!$F$16="","",IF(入力!C16="社保等","",IF(入力!$F$16&gt;=DATE(税率・条件!$C$1+2018,計算!AS$3+1,1),"",IF(入力!$F$16&gt;=DATE(税率・条件!$C$1+2018-75,計算!AS$3+1,1),IF(OR(AND(入力!L16="",OR(入力!M16="",入力!M16&gt;8,入力!M16&lt;4)),AND(入力!L16=4,OR(入力!M16="",入力!M16&gt;8,入力!M16&lt;4)),AND(入力!L16=5,OR(入力!M16="",入力!M16&gt;8,入力!M16&lt;4)),AND(入力!L16=6,OR(入力!M16="",入力!M16&gt;8,入力!M16&lt;4)),AND(入力!L16=7,OR(入力!M16="",入力!M16&gt;8,入力!M16&lt;4)),AND(入力!L16=8,OR(入力!M16="",入力!M16&gt;8,入力!M16&lt;4))),IF(OR(B4="未就学",B4="18歳未満"),"▲","●"),""),""))))</f>
        <v/>
      </c>
      <c r="AT4" s="192" t="str">
        <f>IF(入力!$F$16="","",IF(入力!C16="社保等","",IF(入力!$F$16&gt;=DATE(税率・条件!$C$1+2018,計算!AT$3+1,1),"",IF(入力!$F$16&gt;=DATE(税率・条件!$C$1+2018-75,計算!AT$3+1,1),IF(OR(AND(入力!L16="",OR(入力!M16="",入力!M16&gt;9,入力!M16&lt;4)),AND(入力!L16=4,OR(入力!M16="",入力!M16&gt;9,入力!M16&lt;4)),AND(入力!L16=5,OR(入力!M16="",入力!M16&gt;9,入力!M16&lt;4)),AND(入力!L16=6,OR(入力!M16="",入力!M16&gt;9,入力!M16&lt;4)),AND(入力!L16=7,OR(入力!M16="",入力!M16&gt;9,入力!M16&lt;4)),AND(入力!L16=8,OR(入力!M16="",入力!M16&gt;9,入力!M16&lt;4)),AND(入力!L16=9,OR(入力!M16="",入力!M16&gt;9,入力!M16&lt;4))),IF(OR(B4="未就学",B4="18歳未満"),"▲","●"),""),""))))</f>
        <v/>
      </c>
      <c r="AU4" s="192" t="str">
        <f>IF(入力!$F$16="","",IF(入力!C16="社保等","",IF(入力!$F$16&gt;=DATE(税率・条件!$C$1+2018,計算!AU$3+1,1),"",IF(入力!$F$16&gt;=DATE(税率・条件!$C$1+2018-75,計算!AU$3+1,1),IF(OR(AND(入力!L16="",OR(入力!M16="",入力!M16&gt;10,入力!M16&lt;4)),AND(入力!L16=4,OR(入力!M16="",入力!M16&gt;10,入力!M16&lt;4)),AND(入力!L16=5,OR(入力!M16="",入力!M16&gt;10,入力!M16&lt;4)),AND(入力!L16=6,OR(入力!M16="",入力!M16&gt;10,入力!M16&lt;4)),AND(入力!L16=7,OR(入力!M16="",入力!M16&gt;10,入力!M16&lt;4)),AND(入力!L16=8,OR(入力!M16="",入力!M16&gt;10,入力!M16&lt;4)),AND(入力!L16=9,OR(入力!M16="",入力!M16&gt;10,入力!M16&lt;4)),AND(入力!L16=10,OR(入力!M16="",入力!M16&gt;10,入力!M16&lt;4))),IF(OR(B4="未就学",B4="18歳未満"),"▲","●"),""),""))))</f>
        <v/>
      </c>
      <c r="AV4" s="192" t="str">
        <f>IF(入力!$F$16="","",IF(入力!C16="社保等","",IF(入力!$F$16&gt;=DATE(税率・条件!$C$1+2018,計算!AV$3+1,1),"",IF(入力!$F$16&gt;=DATE(税率・条件!$C$1+2018-75,計算!AV$3+1,1),IF(OR(AND(入力!L16="",OR(入力!M16="",入力!M16&gt;11,入力!M16&lt;4)),AND(入力!L16=4,OR(入力!M16="",入力!M16&gt;11,入力!M16&lt;4)),AND(入力!L16=5,OR(入力!M16="",入力!M16&gt;11,入力!M16&lt;4)),AND(入力!L16=6,OR(入力!M16="",入力!M16&gt;11,入力!M16&lt;4)),AND(入力!L16=7,OR(入力!M16="",入力!M16&gt;11,入力!M16&lt;4)),AND(入力!L16=8,OR(入力!M16="",入力!M16&gt;11,入力!M16&lt;4)),AND(入力!L16=9,OR(入力!M16="",入力!M16&gt;11,入力!M16&lt;4)),AND(入力!L16=10,OR(入力!M16="",入力!M16&gt;11,入力!M16&lt;4)),AND(入力!L16=11,OR(入力!M16="",入力!M16&gt;11,入力!M16&lt;4))),IF(OR(B4="未就学",B4="18歳未満"),"▲","●"),""),""))))</f>
        <v/>
      </c>
      <c r="AW4" s="192" t="str">
        <f>IF(入力!$F$16="","",IF(入力!C16="社保等","",IF(入力!$F$16&gt;=DATE(税率・条件!$C$1+2018,計算!AW$3+1,1),"",IF(入力!$F$16&gt;=DATE(税率・条件!$C$1+2018-75,計算!AW$3+1,1),IF(OR(AND(入力!L16="",OR(入力!M16="",入力!M16&gt;12,入力!M16&lt;4)),AND(入力!L16=4,OR(入力!M16="",入力!M16&gt;12,入力!M16&lt;4)),AND(入力!L16=5,OR(入力!M16="",入力!M16&gt;12,入力!M16&lt;4)),AND(入力!L16=6,OR(入力!M16="",入力!M16&gt;12,入力!M16&lt;4)),AND(入力!L16=7,OR(入力!M16="",入力!M16&gt;12,入力!M16&lt;4)),AND(入力!L16=8,OR(入力!M16="",入力!M16&gt;12,入力!M16&lt;4)),AND(入力!L16=9,OR(入力!M16="",入力!M16&gt;12,入力!M16&lt;4)),AND(入力!L16=10,OR(入力!M16="",入力!M16&gt;12,入力!M16&lt;4)),AND(入力!L16=11,OR(入力!M16="",入力!M16&gt;12,入力!M16&lt;4)),AND(入力!L16=12,OR(入力!M16="",入力!M16&gt;12,入力!M16&lt;4))),IF(OR(B4="未就学",B4="18歳未満"),"▲","●"),""),""))))</f>
        <v/>
      </c>
      <c r="AX4" s="192" t="str">
        <f>IF(入力!$F$16="","",IF(入力!C16="社保等","",IF(入力!$F$16&gt;=DATE(税率・条件!$C$1+2019,計算!AX$3+1,1),"",IF(入力!$F$16&gt;=DATE(税率・条件!$C$1+2019-75,計算!AX$3+1,1),IF(OR(AND(入力!L16="",OR(入力!M16="",入力!M16=2,入力!M16=3)),AND(入力!L16=4,OR(入力!M16="",入力!M16=2,入力!M16=3)),AND(入力!L16=5,OR(入力!M16="",入力!M16=2,入力!M16=3)),AND(入力!L16=6,OR(入力!M16="",入力!M16=2,入力!M16=3)),AND(入力!L16=7,OR(入力!M16="",入力!M16=2,入力!M16=3)),AND(入力!L16=8,OR(入力!M16="",入力!M16=2,入力!M16=3)),AND(入力!L16=9,OR(入力!M16="",入力!M16=2,入力!M16=3)),AND(入力!L16=10,OR(入力!M16="",入力!M16=2,入力!M16=3)),AND(入力!L16=11,OR(入力!M16="",入力!M16=2,入力!M16=3)),AND(入力!L16=12,OR(入力!M16="",入力!M16=2,入力!M16=3)),AND(入力!L16=1,OR(入力!M16="",入力!M16=2,入力!M16=3))),IF(OR(B4="未就学",B4="18歳未満"),"▲","●"),""),""))))</f>
        <v/>
      </c>
      <c r="AY4" s="192" t="str">
        <f>IF(入力!$F$16="","",IF(入力!C16="社保等","",IF(入力!$F$16&gt;=DATE(税率・条件!$C$1+2019,計算!AY$3+1,1),"",IF(入力!$F$16&gt;=DATE(税率・条件!$C$1+2019-75,計算!AY$3+1,1),IF(OR(AND(入力!L16="",OR(入力!M16="",入力!M16=3)),AND(入力!L16=4,OR(入力!M16="",入力!M16=3)),AND(入力!L16=5,OR(入力!M16="",入力!M16=3)),AND(入力!L16=6,OR(入力!M16="",入力!M16=3)),AND(入力!L16=7,OR(入力!M16="",入力!M16=3)),AND(入力!L16=8,OR(入力!M16="",入力!M16=3)),AND(入力!L16=9,OR(入力!M16="",入力!M16=3)),AND(入力!L16=10,OR(入力!M16="",入力!M16=3)),AND(入力!L16=11,OR(入力!M16="",入力!M16=3)),AND(入力!L16=12,OR(入力!M16="",入力!M16=3)),AND(入力!L16=1,OR(入力!M16="",入力!M16=3)),AND(入力!L16=2,OR(入力!M16="",入力!M16=3))),IF(OR(B4="未就学",B4="18歳未満"),"▲","●"),""),""))))</f>
        <v/>
      </c>
      <c r="AZ4" s="199" t="str">
        <f>IF(入力!$F$16="","",IF(入力!C16="社保等","",IF(入力!$F$16&gt;=DATE(税率・条件!$C$1+2019,計算!AZ$3+1,1),"",IF(入力!$F$16&gt;=DATE(税率・条件!$C$1+2019-75,計算!AZ$3+1,1),IF(OR(AND(入力!L16="",入力!M16=""),AND(入力!L16=4,入力!M16=""),AND(入力!L16=5,入力!M16=""),AND(入力!L16=6,入力!M16=""),AND(入力!L16=7,入力!M16=""),AND(入力!L16=8,入力!M16=""),AND(入力!L16=9,入力!M16=""),AND(入力!L16=10,入力!M16=""),AND(入力!L16=11,入力!M16=""),AND(入力!L16=12,入力!M16=""),AND(入力!L16=1,入力!M16=""),AND(入力!L16=2,入力!M16=""),AND(入力!L16=3,入力!M16="")),IF(OR(B4="未就学",B4="18歳未満"),"▲","●"),""),""))))</f>
        <v/>
      </c>
      <c r="BB4" s="204" t="str">
        <f>BB20</f>
        <v/>
      </c>
      <c r="BD4" s="209" t="s">
        <v>171</v>
      </c>
      <c r="BE4" s="216">
        <f>ROUND(ROUNDDOWN((IF(AO$4="",0,$O4)+IF(AO$6="",0,$O6)+IF(AO$8="",0,$O8)+IF(AO$10="",0,$O10)+IF(AO$12="",0,$O12)+IF(AO$14="",0,$O14)+IF(AO$16="",0,$O16)+IF(AO$18="",0,$O18))*税率・条件!$C$4/100,0)/12,2)</f>
        <v>0</v>
      </c>
      <c r="BF4" s="216">
        <f>ROUND(ROUNDDOWN((IF(AP$4="",0,$O4)+IF(AP$6="",0,$O6)+IF(AP$8="",0,$O8)+IF(AP$10="",0,$O10)+IF(AP$12="",0,$O12)+IF(AP$14="",0,$O14)+IF(AP$16="",0,$O16)+IF(AP$18="",0,$O18))*税率・条件!$C$4/100,0)/12,2)</f>
        <v>0</v>
      </c>
      <c r="BG4" s="216">
        <f>ROUND(ROUNDDOWN((IF(AQ$4="",0,$O4)+IF(AQ$6="",0,$O6)+IF(AQ$8="",0,$O8)+IF(AQ$10="",0,$O10)+IF(AQ$12="",0,$O12)+IF(AQ$14="",0,$O14)+IF(AQ$16="",0,$O16)+IF(AQ$18="",0,$O18))*税率・条件!$C$4/100,0)/12,2)</f>
        <v>0</v>
      </c>
      <c r="BH4" s="216">
        <f>ROUND(ROUNDDOWN((IF(AR$4="",0,$O4)+IF(AR$6="",0,$O6)+IF(AR$8="",0,$O8)+IF(AR$10="",0,$O10)+IF(AR$12="",0,$O12)+IF(AR$14="",0,$O14)+IF(AR$16="",0,$O16)+IF(AR$18="",0,$O18))*税率・条件!$C$4/100,0)/12,2)</f>
        <v>0</v>
      </c>
      <c r="BI4" s="216">
        <f>ROUND(ROUNDDOWN((IF(AS$4="",0,$O4)+IF(AS$6="",0,$O6)+IF(AS$8="",0,$O8)+IF(AS$10="",0,$O10)+IF(AS$12="",0,$O12)+IF(AS$14="",0,$O14)+IF(AS$16="",0,$O16)+IF(AS$18="",0,$O18))*税率・条件!$C$4/100,0)/12,2)</f>
        <v>0</v>
      </c>
      <c r="BJ4" s="216">
        <f>ROUND(ROUNDDOWN((IF(AT$4="",0,$O4)+IF(AT$6="",0,$O6)+IF(AT$8="",0,$O8)+IF(AT$10="",0,$O10)+IF(AT$12="",0,$O12)+IF(AT$14="",0,$O14)+IF(AT$16="",0,$O16)+IF(AT$18="",0,$O18))*税率・条件!$C$4/100,0)/12,2)</f>
        <v>0</v>
      </c>
      <c r="BK4" s="216">
        <f>ROUND(ROUNDDOWN((IF(AU$4="",0,$O4)+IF(AU$6="",0,$O6)+IF(AU$8="",0,$O8)+IF(AU$10="",0,$O10)+IF(AU$12="",0,$O12)+IF(AU$14="",0,$O14)+IF(AU$16="",0,$O16)+IF(AU$18="",0,$O18))*税率・条件!$C$4/100,0)/12,2)</f>
        <v>0</v>
      </c>
      <c r="BL4" s="216">
        <f>ROUND(ROUNDDOWN((IF(AV$4="",0,$O4)+IF(AV$6="",0,$O6)+IF(AV$8="",0,$O8)+IF(AV$10="",0,$O10)+IF(AV$12="",0,$O12)+IF(AV$14="",0,$O14)+IF(AV$16="",0,$O16)+IF(AV$18="",0,$O18))*税率・条件!$C$4/100,0)/12,2)</f>
        <v>0</v>
      </c>
      <c r="BM4" s="216">
        <f>ROUND(ROUNDDOWN((IF(AW$4="",0,$O4)+IF(AW$6="",0,$O6)+IF(AW$8="",0,$O8)+IF(AW$10="",0,$O10)+IF(AW$12="",0,$O12)+IF(AW$14="",0,$O14)+IF(AW$16="",0,$O16)+IF(AW$18="",0,$O18))*税率・条件!$C$4/100,0)/12,2)</f>
        <v>0</v>
      </c>
      <c r="BN4" s="216">
        <f>ROUND(ROUNDDOWN((IF(AX$4="",0,$O4)+IF(AX$6="",0,$O6)+IF(AX$8="",0,$O8)+IF(AX$10="",0,$O10)+IF(AX$12="",0,$O12)+IF(AX$14="",0,$O14)+IF(AX$16="",0,$O16)+IF(AX$18="",0,$O18))*税率・条件!$C$4/100,0)/12,2)</f>
        <v>0</v>
      </c>
      <c r="BO4" s="216">
        <f>ROUND(ROUNDDOWN((IF(AY$4="",0,$O4)+IF(AY$6="",0,$O6)+IF(AY$8="",0,$O8)+IF(AY$10="",0,$O10)+IF(AY$12="",0,$O12)+IF(AY$14="",0,$O14)+IF(AY$16="",0,$O16)+IF(AY$18="",0,$O18))*税率・条件!$C$4/100,0)/12,2)</f>
        <v>0</v>
      </c>
      <c r="BP4" s="216">
        <f>ROUND(ROUNDDOWN((IF(AZ$4="",0,$O4)+IF(AZ$6="",0,$O6)+IF(AZ$8="",0,$O8)+IF(AZ$10="",0,$O10)+IF(AZ$12="",0,$O12)+IF(AZ$14="",0,$O14)+IF(AZ$16="",0,$O16)+IF(AZ$18="",0,$O18))*税率・条件!$C$4/100,0)/12,2)</f>
        <v>0</v>
      </c>
      <c r="BQ4" s="216">
        <f t="shared" ref="BQ4:BQ23" si="0">SUM(BE4:BP4)</f>
        <v>0</v>
      </c>
      <c r="BR4" s="228">
        <f t="shared" ref="BR4:BR23" si="1">ROUNDDOWN(ROUND(BQ4,1),0)</f>
        <v>0</v>
      </c>
    </row>
    <row r="5" spans="1:70" ht="18.95" customHeight="1" x14ac:dyDescent="0.15">
      <c r="A5" s="382"/>
      <c r="B5" s="310"/>
      <c r="C5" s="385"/>
      <c r="D5" s="303"/>
      <c r="E5" s="303"/>
      <c r="F5" s="303"/>
      <c r="G5" s="387"/>
      <c r="H5" s="308"/>
      <c r="I5" s="301"/>
      <c r="J5" s="303"/>
      <c r="K5" s="303"/>
      <c r="L5" s="308"/>
      <c r="M5" s="310"/>
      <c r="N5" s="301"/>
      <c r="O5" s="303"/>
      <c r="P5" s="313"/>
      <c r="Q5" s="315"/>
      <c r="R5" s="317"/>
      <c r="S5" s="319"/>
      <c r="T5" s="389"/>
      <c r="U5" s="303"/>
      <c r="V5" s="303"/>
      <c r="W5" s="303"/>
      <c r="X5" s="305"/>
      <c r="Y5" s="301"/>
      <c r="Z5" s="303"/>
      <c r="AA5" s="303"/>
      <c r="AB5" s="303"/>
      <c r="AC5" s="305"/>
      <c r="AD5" s="301"/>
      <c r="AE5" s="303"/>
      <c r="AF5" s="303"/>
      <c r="AG5" s="303"/>
      <c r="AH5" s="305"/>
      <c r="AI5" s="301"/>
      <c r="AJ5" s="303"/>
      <c r="AK5" s="303"/>
      <c r="AL5" s="303"/>
      <c r="AM5" s="305"/>
      <c r="AN5" s="189" t="str">
        <f>IF(入力!$F$16="","",IF(入力!C16="社保等","",COUNTIF(AO5:AZ5,"■")))</f>
        <v/>
      </c>
      <c r="AO5" s="193" t="str">
        <f>IF(入力!$F$16="","",IF(入力!C16="社保等","",IF(AND(入力!$F$16&gt;DATE(税率・条件!$C$1+2018-65,計算!AO$3+1,1),入力!$F$16&lt;=DATE(税率・条件!$C$1+2018-40,計算!AO$3+1,1)),IF(OR(AND(入力!L16="",OR(入力!M16="",入力!M16&gt;4,入力!M16&lt;4)),AND(入力!L16=4,OR(入力!M16="",入力!M16&gt;4,入力!M16&lt;4))),"■",""),"")))</f>
        <v/>
      </c>
      <c r="AP5" s="193" t="str">
        <f>IF(入力!$F$16="","",IF(入力!C16="社保等","",IF(AND(入力!$F$16&gt;DATE(税率・条件!$C$1+2018-65,計算!AP$3+1,1),入力!$F$16&lt;=DATE(税率・条件!$C$1+2018-40,計算!AP$3+1,1)),IF(OR(AND(入力!L16="",OR(入力!M16="",入力!M16&gt;5,入力!M16&lt;4)),AND(入力!L16=4,OR(入力!M16="",入力!M16&gt;5,入力!M16&lt;4)),AND(入力!L16=5,OR(入力!M16="",入力!M16&gt;5,入力!M16&lt;4))),"■",""),"")))</f>
        <v/>
      </c>
      <c r="AQ5" s="193" t="str">
        <f>IF(入力!$F$16="","",IF(入力!C16="社保等","",IF(AND(入力!$F$16&gt;DATE(税率・条件!$C$1+2018-65,計算!AQ$3+1,1),入力!$F$16&lt;=DATE(税率・条件!$C$1+2018-40,計算!AQ$3+1,1)),IF(OR(AND(入力!L16="",OR(入力!M16="",入力!M16&gt;6,入力!M16&lt;4)),AND(入力!L16=4,OR(入力!M16="",入力!M16&gt;6,入力!M16&lt;4)),AND(入力!L16=5,OR(入力!M16="",入力!M16&gt;6,入力!M16&lt;4)),AND(入力!L16=6,OR(入力!M16="",入力!M16&gt;6,入力!M16&lt;4))),"■",""),"")))</f>
        <v/>
      </c>
      <c r="AR5" s="193" t="str">
        <f>IF(入力!$F$16="","",IF(入力!C16="社保等","",IF(AND(入力!$F$16&gt;DATE(税率・条件!$C$1+2018-65,計算!AR$3+1,1),入力!$F$16&lt;=DATE(税率・条件!$C$1+2018-40,計算!AR$3+1,1)),IF(OR(AND(入力!L16="",OR(入力!M16="",入力!M16&gt;7,入力!M16&lt;4)),AND(入力!L16=4,OR(入力!M16="",入力!M16&gt;7,入力!M16&lt;4)),AND(入力!L16=5,OR(入力!M16="",入力!M16&gt;7,入力!M16&lt;4)),AND(入力!L16=6,OR(入力!M16="",入力!M16&gt;7,入力!M16&lt;4)),AND(入力!L16=7,OR(入力!M16="",入力!M16&gt;7,入力!M16&lt;4))),"■",""),"")))</f>
        <v/>
      </c>
      <c r="AS5" s="193" t="str">
        <f>IF(入力!$F$16="","",IF(入力!C16="社保等","",IF(AND(入力!$F$16&gt;DATE(税率・条件!$C$1+2018-65,計算!AS$3+1,1),入力!$F$16&lt;=DATE(税率・条件!$C$1+2018-40,計算!AS$3+1,1)),IF(OR(AND(入力!L16="",OR(入力!M16="",入力!M16&gt;8,入力!M16&lt;4)),AND(入力!L16=4,OR(入力!M16="",入力!M16&gt;8,入力!M16&lt;4)),AND(入力!L16=5,OR(入力!M16="",入力!M16&gt;8,入力!M16&lt;4)),AND(入力!L16=6,OR(入力!M16="",入力!M16&gt;8,入力!M16&lt;4)),AND(入力!L16=7,OR(入力!M16="",入力!M16&gt;8,入力!M16&lt;4)),AND(入力!L16=8,OR(入力!M16="",入力!M16&gt;8,入力!M16&lt;4))),"■",""),"")))</f>
        <v/>
      </c>
      <c r="AT5" s="193" t="str">
        <f>IF(入力!$F$16="","",IF(入力!C16="社保等","",IF(AND(入力!$F$16&gt;DATE(税率・条件!$C$1+2018-65,計算!AT$3+1,1),入力!$F$16&lt;=DATE(税率・条件!$C$1+2018-40,計算!AT$3+1,1)),IF(OR(AND(入力!L16="",OR(入力!M16="",入力!M16&gt;9,入力!M16&lt;4)),AND(入力!L16=4,OR(入力!M16="",入力!M16&gt;9,入力!M16&lt;4)),AND(入力!L16=5,OR(入力!M16="",入力!M16&gt;9,入力!M16&lt;4)),AND(入力!L16=6,OR(入力!M16="",入力!M16&gt;9,入力!M16&lt;4)),AND(入力!L16=7,OR(入力!M16="",入力!M16&gt;9,入力!M16&lt;4)),AND(入力!L16=8,OR(入力!M16="",入力!M16&gt;9,入力!M16&lt;4)),AND(入力!L16=9,OR(入力!M16="",入力!M16&gt;9,入力!M16&lt;4))),"■",""),"")))</f>
        <v/>
      </c>
      <c r="AU5" s="193" t="str">
        <f>IF(入力!$F$16="","",IF(入力!C16="社保等","",IF(AND(入力!$F$16&gt;DATE(税率・条件!$C$1+2018-65,計算!AU$3+1,1),入力!$F$16&lt;=DATE(税率・条件!$C$1+2018-40,計算!AU$3+1,1)),IF(OR(AND(入力!L16="",OR(入力!M16="",入力!M16&gt;10,入力!M16&lt;4)),AND(入力!L16=4,OR(入力!M16="",入力!M16&gt;10,入力!M16&lt;4)),AND(入力!L16=5,OR(入力!M16="",入力!M16&gt;10,入力!M16&lt;4)),AND(入力!L16=6,OR(入力!M16="",入力!M16&gt;10,入力!M16&lt;4)),AND(入力!L16=7,OR(入力!M16="",入力!M16&gt;10,入力!M16&lt;4)),AND(入力!L16=8,OR(入力!M16="",入力!M16&gt;10,入力!M16&lt;4)),AND(入力!L16=9,OR(入力!M16="",入力!M16&gt;10,入力!M16&lt;4)),AND(入力!L16=10,OR(入力!M16="",入力!M16&gt;10,入力!M16&lt;4))),"■",""),"")))</f>
        <v/>
      </c>
      <c r="AV5" s="193" t="str">
        <f>IF(入力!$F$16="","",IF(入力!C16="社保等","",IF(AND(入力!$F$16&gt;DATE(税率・条件!$C$1+2018-65,計算!AV$3+1,1),入力!$F$16&lt;=DATE(税率・条件!$C$1+2018-40,計算!AV$3+1,1)),IF(OR(AND(入力!L16="",OR(入力!M16="",入力!M16&gt;11,入力!M16&lt;4)),AND(入力!L16=4,OR(入力!M16="",入力!M16&gt;11,入力!M16&lt;4)),AND(入力!L16=5,OR(入力!M16="",入力!M16&gt;11,入力!M16&lt;4)),AND(入力!L16=6,OR(入力!M16="",入力!M16&gt;11,入力!M16&lt;4)),AND(入力!L16=7,OR(入力!M16="",入力!M16&gt;11,入力!M16&lt;4)),AND(入力!L16=8,OR(入力!M16="",入力!M16&gt;11,入力!M16&lt;4)),AND(入力!L16=9,OR(入力!M16="",入力!M16&gt;11,入力!M16&lt;4)),AND(入力!L16=10,OR(入力!M16="",入力!M16&gt;11,入力!M16&lt;4)),AND(入力!L16=11,OR(入力!M16="",入力!M16&gt;11,入力!M16&lt;4))),"■",""),"")))</f>
        <v/>
      </c>
      <c r="AW5" s="193" t="str">
        <f>IF(入力!$F$16="","",IF(入力!C16="社保等","",IF(AND(入力!$F$16&gt;DATE(税率・条件!$C$1+2018-65,計算!AW$3+1,1),入力!$F$16&lt;=DATE(税率・条件!$C$1+2018-40,計算!AW$3+1,1)),IF(OR(AND(入力!L16="",OR(入力!M16="",入力!M16&gt;12,入力!M16&lt;4)),AND(入力!L16=4,OR(入力!M16="",入力!M16&gt;12,入力!M16&lt;4)),AND(入力!L16=5,OR(入力!M16="",入力!M16&gt;12,入力!M16&lt;4)),AND(入力!L16=6,OR(入力!M16="",入力!M16&gt;12,入力!M16&lt;4)),AND(入力!L16=7,OR(入力!M16="",入力!M16&gt;12,入力!M16&lt;4)),AND(入力!L16=8,OR(入力!M16="",入力!M16&gt;12,入力!M16&lt;4)),AND(入力!L16=9,OR(入力!M16="",入力!M16&gt;12,入力!M16&lt;4)),AND(入力!L16=10,OR(入力!M16="",入力!M16&gt;12,入力!M16&lt;4)),AND(入力!L16=11,OR(入力!M16="",入力!M16&gt;12,入力!M16&lt;4)),AND(入力!L16=12,OR(入力!M16="",入力!M16&gt;12,入力!M16&lt;4))),"■",""),"")))</f>
        <v/>
      </c>
      <c r="AX5" s="193" t="str">
        <f>IF(入力!$F$16="","",IF(入力!C16="社保等","",IF(AND(入力!$F$16&gt;DATE(税率・条件!$C$1+2019-65,計算!AX$3+1,1),入力!$F$16&lt;=DATE(税率・条件!$C$1+2019-40,計算!AX$3+1,1)),IF(OR(AND(入力!L16="",OR(入力!M16="",入力!M16=2,入力!M16=3)),AND(入力!L16=4,OR(入力!M16="",入力!M16=2,入力!M16=3)),AND(入力!L16=5,OR(入力!M16="",入力!M16=2,入力!M16=3)),AND(入力!L16=6,OR(入力!M16="",入力!M16=2,入力!M16=3)),AND(入力!L16=7,OR(入力!M16="",入力!M16=2,入力!M16=3)),AND(入力!L16=8,OR(入力!M16="",入力!M16=2,入力!M16=3)),AND(入力!L16=9,OR(入力!M16="",入力!M16=2,入力!M16=3)),AND(入力!L16=10,OR(入力!M16="",入力!M16=2,入力!M16=3)),AND(入力!L16=11,OR(入力!M16="",入力!M16=2,入力!M16=3)),AND(入力!L16=12,OR(入力!M16="",入力!M16=2,入力!M16=3)),AND(入力!L16=1,OR(入力!M16="",入力!M16=2,入力!M16=3))),"■",""),"")))</f>
        <v/>
      </c>
      <c r="AY5" s="193" t="str">
        <f>IF(入力!$F$16="","",IF(入力!C16="社保等","",IF(AND(入力!$F$16&gt;DATE(税率・条件!$C$1+2019-65,計算!AY$3+1,1),入力!$F$16&lt;=DATE(税率・条件!$C$1+2019-40,計算!AY$3+1,1)),IF(OR(AND(入力!L16="",OR(入力!M16="",入力!M16=3)),AND(入力!L16=4,OR(入力!M16="",入力!M16=3)),AND(入力!L16=5,OR(入力!M16="",入力!M16=3)),AND(入力!L16=6,OR(入力!M16="",入力!M16=3)),AND(入力!L16=7,OR(入力!M16="",入力!M16=3)),AND(入力!L16=8,OR(入力!M16="",入力!M16=3)),AND(入力!L16=9,OR(入力!M16="",入力!M16=3)),AND(入力!L16=10,OR(入力!M16="",入力!M16=3)),AND(入力!L16=11,OR(入力!M16="",入力!M16=3)),AND(入力!L16=12,OR(入力!M16="",入力!M16=3)),AND(入力!L16=1,OR(入力!M16="",入力!M16=3)),AND(入力!L16=2,OR(入力!M16="",入力!M16=3))),"■",""),"")))</f>
        <v/>
      </c>
      <c r="AZ5" s="200" t="str">
        <f>IF(入力!$F$16="","",IF(入力!C16="社保等","",IF(AND(入力!$F$16&gt;DATE(税率・条件!$C$1+2019-65,計算!AZ$3+1,1),入力!$F$16&lt;=DATE(税率・条件!$C$1+2019-40,計算!AZ$3+1,1)),IF(OR(AND(入力!L16="",入力!M16=""),AND(入力!L16=4,入力!M16=""),AND(入力!L16=5,入力!M16=""),AND(入力!L16=6,入力!M16=""),AND(入力!L16=7,入力!M16=""),AND(入力!L16=8,入力!M16=""),AND(入力!L16=9,入力!M16=""),AND(入力!L16=10,入力!M16=""),AND(入力!L16=11,入力!M16=""),AND(入力!L16=12,入力!M16=""),AND(入力!L16=1,入力!M16=""),AND(入力!L16=2,入力!M16=""),AND(入力!L16=3,入力!M16="")),"■",""),"")))</f>
        <v/>
      </c>
      <c r="BD5" s="210" t="s">
        <v>173</v>
      </c>
      <c r="BE5" s="217">
        <f>ROUND(ROUNDDOWN((IF(AO$4="",0,入力!$J$16)+IF(AO$6="",0,入力!$J$17)+IF(AO$8="",0,入力!$J$18)+IF(AO$10="",0,入力!$J$19)+IF(AO$12="",0,入力!$J$20)+IF(AO$14="",0,入力!$J$21)+IF(AO$16="",0,入力!$J$22)+IF(AO$18="",0,入力!$J$23))*税率・条件!$C$5/100,0)/12,2)</f>
        <v>0</v>
      </c>
      <c r="BF5" s="217">
        <f>ROUND(ROUNDDOWN((IF(AP$4="",0,入力!$J$16)+IF(AP$6="",0,入力!$J$17)+IF(AP$8="",0,入力!$J$18)+IF(AP$10="",0,入力!$J$19)+IF(AP$12="",0,入力!$J$20)+IF(AP$14="",0,入力!$J$21)+IF(AP$16="",0,入力!$J$22)+IF(AP$18="",0,入力!$J$23))*税率・条件!$C$5/100,0)/12,2)</f>
        <v>0</v>
      </c>
      <c r="BG5" s="217">
        <f>ROUND(ROUNDDOWN((IF(AQ$4="",0,入力!$J$16)+IF(AQ$6="",0,入力!$J$17)+IF(AQ$8="",0,入力!$J$18)+IF(AQ$10="",0,入力!$J$19)+IF(AQ$12="",0,入力!$J$20)+IF(AQ$14="",0,入力!$J$21)+IF(AQ$16="",0,入力!$J$22)+IF(AQ$18="",0,入力!$J$23))*税率・条件!$C$5/100,0)/12,2)</f>
        <v>0</v>
      </c>
      <c r="BH5" s="217">
        <f>ROUND(ROUNDDOWN((IF(AR$4="",0,入力!$J$16)+IF(AR$6="",0,入力!$J$17)+IF(AR$8="",0,入力!$J$18)+IF(AR$10="",0,入力!$J$19)+IF(AR$12="",0,入力!$J$20)+IF(AR$14="",0,入力!$J$21)+IF(AR$16="",0,入力!$J$22)+IF(AR$18="",0,入力!$J$23))*税率・条件!$C$5/100,0)/12,2)</f>
        <v>0</v>
      </c>
      <c r="BI5" s="217">
        <f>ROUND(ROUNDDOWN((IF(AS$4="",0,入力!$J$16)+IF(AS$6="",0,入力!$J$17)+IF(AS$8="",0,入力!$J$18)+IF(AS$10="",0,入力!$J$19)+IF(AS$12="",0,入力!$J$20)+IF(AS$14="",0,入力!$J$21)+IF(AS$16="",0,入力!$J$22)+IF(AS$18="",0,入力!$J$23))*税率・条件!$C$5/100,0)/12,2)</f>
        <v>0</v>
      </c>
      <c r="BJ5" s="217">
        <f>ROUND(ROUNDDOWN((IF(AT$4="",0,入力!$J$16)+IF(AT$6="",0,入力!$J$17)+IF(AT$8="",0,入力!$J$18)+IF(AT$10="",0,入力!$J$19)+IF(AT$12="",0,入力!$J$20)+IF(AT$14="",0,入力!$J$21)+IF(AT$16="",0,入力!$J$22)+IF(AT$18="",0,入力!$J$23))*税率・条件!$C$5/100,0)/12,2)</f>
        <v>0</v>
      </c>
      <c r="BK5" s="217">
        <f>ROUND(ROUNDDOWN((IF(AU$4="",0,入力!$J$16)+IF(AU$6="",0,入力!$J$17)+IF(AU$8="",0,入力!$J$18)+IF(AU$10="",0,入力!$J$19)+IF(AU$12="",0,入力!$J$20)+IF(AU$14="",0,入力!$J$21)+IF(AU$16="",0,入力!$J$22)+IF(AU$18="",0,入力!$J$23))*税率・条件!$C$5/100,0)/12,2)</f>
        <v>0</v>
      </c>
      <c r="BL5" s="217">
        <f>ROUND(ROUNDDOWN((IF(AV$4="",0,入力!$J$16)+IF(AV$6="",0,入力!$J$17)+IF(AV$8="",0,入力!$J$18)+IF(AV$10="",0,入力!$J$19)+IF(AV$12="",0,入力!$J$20)+IF(AV$14="",0,入力!$J$21)+IF(AV$16="",0,入力!$J$22)+IF(AV$18="",0,入力!$J$23))*税率・条件!$C$5/100,0)/12,2)</f>
        <v>0</v>
      </c>
      <c r="BM5" s="217">
        <f>ROUND(ROUNDDOWN((IF(AW$4="",0,入力!$J$16)+IF(AW$6="",0,入力!$J$17)+IF(AW$8="",0,入力!$J$18)+IF(AW$10="",0,入力!$J$19)+IF(AW$12="",0,入力!$J$20)+IF(AW$14="",0,入力!$J$21)+IF(AW$16="",0,入力!$J$22)+IF(AW$18="",0,入力!$J$23))*税率・条件!$C$5/100,0)/12,2)</f>
        <v>0</v>
      </c>
      <c r="BN5" s="217">
        <f>ROUND(ROUNDDOWN((IF(AX$4="",0,入力!$J$16)+IF(AX$6="",0,入力!$J$17)+IF(AX$8="",0,入力!$J$18)+IF(AX$10="",0,入力!$J$19)+IF(AX$12="",0,入力!$J$20)+IF(AX$14="",0,入力!$J$21)+IF(AX$16="",0,入力!$J$22)+IF(AX$18="",0,入力!$J$23))*税率・条件!$C$5/100,0)/12,2)</f>
        <v>0</v>
      </c>
      <c r="BO5" s="217">
        <f>ROUND(ROUNDDOWN((IF(AY$4="",0,入力!$J$16)+IF(AY$6="",0,入力!$J$17)+IF(AY$8="",0,入力!$J$18)+IF(AY$10="",0,入力!$J$19)+IF(AY$12="",0,入力!$J$20)+IF(AY$14="",0,入力!$J$21)+IF(AY$16="",0,入力!$J$22)+IF(AY$18="",0,入力!$J$23))*税率・条件!$C$5/100,0)/12,2)</f>
        <v>0</v>
      </c>
      <c r="BP5" s="217">
        <f>ROUND(ROUNDDOWN((IF(AZ$4="",0,入力!$J$16)+IF(AZ$6="",0,入力!$J$17)+IF(AZ$8="",0,入力!$J$18)+IF(AZ$10="",0,入力!$J$19)+IF(AZ$12="",0,入力!$J$20)+IF(AZ$14="",0,入力!$J$21)+IF(AZ$16="",0,入力!$J$22)+IF(AZ$18="",0,入力!$J$23))*税率・条件!$C$5/100,0)/12,2)</f>
        <v>0</v>
      </c>
      <c r="BQ5" s="221">
        <f t="shared" si="0"/>
        <v>0</v>
      </c>
      <c r="BR5" s="229">
        <f t="shared" si="1"/>
        <v>0</v>
      </c>
    </row>
    <row r="6" spans="1:70" ht="18.95" customHeight="1" x14ac:dyDescent="0.15">
      <c r="A6" s="381" t="str">
        <f>入力!E17</f>
        <v>２</v>
      </c>
      <c r="B6" s="391" t="str">
        <f>IF(入力!F17="","",IF(入力!F17&lt;=DATE(税率・条件!C1+1953,1,1),"65歳以上",IF(入力!F17&gt;DATE(税率・条件!C1+2012,4,1),"未就学",IF(入力!F17&gt;DATE(税率・条件!C1+2000,4,1),"18歳未満","一般"))))</f>
        <v/>
      </c>
      <c r="C6" s="384" t="str">
        <f>IF(D6="","",IF(入力!K17="該 当","該当","非該当"))</f>
        <v/>
      </c>
      <c r="D6" s="306" t="str">
        <f>IF(入力!G17="","",ROUNDDOWN(VLOOKUP(入力!G17,$B$24:$J$30,3,1)*IF(入力!K17="該 当",0.3,1),0))</f>
        <v/>
      </c>
      <c r="E6" s="306" t="str">
        <f>IF(D6="","",IF(OR(D6="",K6=""),0,IF(D6+K6&lt;100000,0,IF(D6&lt;100000,D6,100000)+IF(K6&lt;100000,K6,100000)-100000)))</f>
        <v/>
      </c>
      <c r="F6" s="306" t="str">
        <f>IF(D6="","",D6-E6)</f>
        <v/>
      </c>
      <c r="G6" s="386" t="str">
        <f>IF(D6="","",IF(OR(D6="",L6=""),0,IF(D6+L6&lt;100000,0,IF(D6&lt;100000,D6,100000)+IF(L6&lt;100000,L6,100000)-100000)))</f>
        <v/>
      </c>
      <c r="H6" s="307" t="str">
        <f>IF(D6="","",D6-G6)</f>
        <v/>
      </c>
      <c r="I6" s="311" t="str">
        <f>IF(入力!H17="","",IF(B6="65歳以上",VLOOKUP(入力!H17,$B$43:$D$47,2,1),VLOOKUP(入力!H17,$B$35:$D$39,2,1)))</f>
        <v/>
      </c>
      <c r="J6" s="306" t="str">
        <f>IF(I6="","",IF(B6="65歳以上",VLOOKUP(入力!H17,$B$43:$D$47,3,1),VLOOKUP(入力!H17,$B$35:$D$39,3,1)))</f>
        <v/>
      </c>
      <c r="K6" s="306" t="str">
        <f>IF(I6="","",IF(入力!H17*計算!I6/100-計算!J6&lt;0,0,ROUNDDOWN(入力!H17*計算!I6/100-計算!J6,0)))</f>
        <v/>
      </c>
      <c r="L6" s="307" t="str">
        <f>IF(K6="","",IF(B6="65歳以上",IF(K6&lt;税率・条件!$G$9,0,K6-税率・条件!$G$9),K6))</f>
        <v/>
      </c>
      <c r="M6" s="309" t="str">
        <f>IF(入力!I17="","",入力!I17)</f>
        <v/>
      </c>
      <c r="N6" s="311" t="str">
        <f>IF(入力!F17="","",SUM(F6,K6,M6))</f>
        <v/>
      </c>
      <c r="O6" s="306" t="str">
        <f>IF(入力!P17&lt;&gt;"",IF(計算!N6-430000&gt;0,計算!N6-430000,0),"")</f>
        <v/>
      </c>
      <c r="P6" s="312" t="str">
        <f>IF(入力!Q17&lt;&gt;"",IF(計算!N6-430000&gt;0,計算!N6-430000,0),"")</f>
        <v/>
      </c>
      <c r="Q6" s="314" t="str">
        <f>IF(N6="","",IF(BB6&lt;&gt;BB20,"",SUM(H6,L6,M6)))</f>
        <v/>
      </c>
      <c r="R6" s="316" t="str">
        <f>IF(AND(D6="",K6=""),"",IF(BB6&lt;&gt;BB20,"",IF(OR(入力!G17&gt;税率・条件!K5,AND(B6="65歳以上",入力!H17&gt;税率・条件!K7),AND(B6&lt;&gt;"65歳以上",入力!H17&gt;税率・条件!K6)),1,"")))</f>
        <v/>
      </c>
      <c r="S6" s="318" t="str">
        <f>IF(N6="","",IF(AND(入力!$H$25&lt;&gt;"",入力!$C$19="全員申告済み",$BB$6=$BB$20),"該当",""))</f>
        <v/>
      </c>
      <c r="T6" s="388" t="str">
        <f>IF($O6="","",ROUNDDOWN($O6*税率・条件!$C$4/100,0))</f>
        <v/>
      </c>
      <c r="U6" s="302" t="str">
        <f>IF(入力!$P17="","",ROUNDDOWN(入力!$J17*税率・条件!$C$5/100,0))</f>
        <v/>
      </c>
      <c r="V6" s="302" t="str">
        <f>IF(入力!$P17="","",ROUNDDOWN(税率・条件!$C$6*(100%-IF(B6="未就学",税率・条件!$H$11,0%))*(100%-$M$34),0))</f>
        <v/>
      </c>
      <c r="W6" s="393"/>
      <c r="X6" s="304" t="str">
        <f>IF(SUM(T6:W6)&gt;0,SUM(T6:W6),"")</f>
        <v/>
      </c>
      <c r="Y6" s="300" t="str">
        <f>IF($O6="","",ROUNDDOWN($O6*税率・条件!$C$9/100,0))</f>
        <v/>
      </c>
      <c r="Z6" s="302" t="str">
        <f>IF(入力!$P17="","",ROUNDDOWN(入力!$J17*税率・条件!$C$10/100,0))</f>
        <v/>
      </c>
      <c r="AA6" s="302" t="str">
        <f>IF(入力!$P17="","",ROUNDDOWN(税率・条件!$C$11*(100%-IF(B6="未就学",税率・条件!$H$11,0%))*(100%-$M$34),0))</f>
        <v/>
      </c>
      <c r="AB6" s="393"/>
      <c r="AC6" s="304" t="str">
        <f>IF(SUM(Y6:AB6)&gt;0,SUM(Y6:AB6),"")</f>
        <v/>
      </c>
      <c r="AD6" s="300" t="str">
        <f>IF($P6="","",ROUNDDOWN($P6*税率・条件!$C$14/100,0))</f>
        <v/>
      </c>
      <c r="AE6" s="302" t="str">
        <f>IF(入力!$Q17="","",ROUNDDOWN(入力!$J17*税率・条件!$C$15/100,0))</f>
        <v/>
      </c>
      <c r="AF6" s="302" t="str">
        <f>IF(入力!$Q17="","",ROUNDDOWN(税率・条件!$C$16*(100%-$M$34),0))</f>
        <v/>
      </c>
      <c r="AG6" s="393"/>
      <c r="AH6" s="304" t="str">
        <f>IF(SUM(AD6:AG6)&gt;0,SUM(AD6:AG6),"")</f>
        <v/>
      </c>
      <c r="AI6" s="300" t="str">
        <f>IF($O6="","",ROUNDDOWN($O6*税率・条件!$C$19/100,0))</f>
        <v/>
      </c>
      <c r="AJ6" s="302" t="str">
        <f>IF(入力!$P17="","",ROUNDDOWN(入力!$J17*税率・条件!$C$20/100,0))</f>
        <v/>
      </c>
      <c r="AK6" s="302" t="str">
        <f>IF(入力!$P17="","",ROUNDDOWN(IF(OR(B6="18歳未満",B6="未就学"),0,税率・条件!$C$21)*(100%-$M$34),0))</f>
        <v/>
      </c>
      <c r="AL6" s="393"/>
      <c r="AM6" s="304" t="str">
        <f>IF(SUM(AI6:AL6)&gt;0,SUM(AI6:AL6),"")</f>
        <v/>
      </c>
      <c r="AN6" s="188" t="str">
        <f>IF(入力!$F$17="","",COUNTIF(AO6:AZ6,"●")+COUNTIF(AO6:AZ6,"▲"))</f>
        <v/>
      </c>
      <c r="AO6" s="192" t="str">
        <f>IF(入力!$F$17="","",IF(入力!$F$17&gt;=DATE(税率・条件!$C$1+2018,計算!AO$3+1,1),"",IF(入力!$F$17&gt;=DATE(税率・条件!$C$1+2018-75,計算!AO$3+1,1),IF(OR(AND(入力!L17="",OR(入力!M17="",入力!M17&gt;4,入力!M17&lt;4)),AND(入力!L17=4,OR(入力!M17="",入力!M17&gt;4,入力!M17&lt;4))),IF(OR(B6="未就学",B6="18歳未満"),"▲","●"),""),"")))</f>
        <v/>
      </c>
      <c r="AP6" s="192" t="str">
        <f>IF(入力!$F$17="","",IF(入力!$F$17&gt;=DATE(税率・条件!$C$1+2018,計算!AP$3+1,1),"",IF(入力!$F$17&gt;=DATE(税率・条件!$C$1+2018-75,計算!AP$3+1,1),IF(OR(AND(入力!L17="",OR(入力!M17="",入力!M17&gt;5,入力!M17&lt;4)),AND(入力!L17=4,OR(入力!M17="",入力!M17&gt;5,入力!M17&lt;4)),AND(入力!L17=5,OR(入力!M17="",入力!M17&gt;5,入力!M17&lt;4))),IF(OR(B6="未就学",B6="18歳未満"),"▲","●"),""),"")))</f>
        <v/>
      </c>
      <c r="AQ6" s="192" t="str">
        <f>IF(入力!$F$17="","",IF(入力!$F$17&gt;=DATE(税率・条件!$C$1+2018,計算!AQ$3+1,1),"",IF(入力!$F$17&gt;=DATE(税率・条件!$C$1+2018-75,計算!AQ$3+1,1),IF(OR(AND(入力!L17="",OR(入力!M17="",入力!M17&gt;6,入力!M17&lt;4)),AND(入力!L17=4,OR(入力!M17="",入力!M17&gt;6,入力!M17&lt;4)),AND(入力!L17=5,OR(入力!M17="",入力!M17&gt;6,入力!M17&lt;4)),AND(入力!L17=6,OR(入力!M17="",入力!M17&gt;6,入力!M17&lt;4))),IF(OR(B6="未就学",B6="18歳未満"),"▲","●"),""),"")))</f>
        <v/>
      </c>
      <c r="AR6" s="192" t="str">
        <f>IF(入力!$F$17="","",IF(入力!$F$17&gt;=DATE(税率・条件!$C$1+2018,計算!AR$3+1,1),"",IF(入力!$F$17&gt;=DATE(税率・条件!$C$1+2018-75,計算!AR$3+1,1),IF(OR(AND(入力!L17="",OR(入力!M17="",入力!M17&gt;7,入力!M17&lt;4)),AND(入力!L17=4,OR(入力!M17="",入力!M17&gt;7,入力!M17&lt;4)),AND(入力!L17=5,OR(入力!M17="",入力!M17&gt;7,入力!M17&lt;4)),AND(入力!L17=6,OR(入力!M17="",入力!M17&gt;7,入力!M17&lt;4)),AND(入力!L17=7,OR(入力!M17="",入力!M17&gt;7,入力!M17&lt;4))),IF(OR(B6="未就学",B6="18歳未満"),"▲","●"),""),"")))</f>
        <v/>
      </c>
      <c r="AS6" s="192" t="str">
        <f>IF(入力!$F$17="","",IF(入力!$F$17&gt;=DATE(税率・条件!$C$1+2018,計算!AS$3+1,1),"",IF(入力!$F$17&gt;=DATE(税率・条件!$C$1+2018-75,計算!AS$3+1,1),IF(OR(AND(入力!L17="",OR(入力!M17="",入力!M17&gt;8,入力!M17&lt;4)),AND(入力!L17=4,OR(入力!M17="",入力!M17&gt;8,入力!M17&lt;4)),AND(入力!L17=5,OR(入力!M17="",入力!M17&gt;8,入力!M17&lt;4)),AND(入力!L17=6,OR(入力!M17="",入力!M17&gt;8,入力!M17&lt;4)),AND(入力!L17=7,OR(入力!M17="",入力!M17&gt;8,入力!M17&lt;4)),AND(入力!L17=8,OR(入力!M17="",入力!M17&gt;8,入力!M17&lt;4))),IF(OR(B6="未就学",B6="18歳未満"),"▲","●"),""),"")))</f>
        <v/>
      </c>
      <c r="AT6" s="192" t="str">
        <f>IF(入力!$F$17="","",IF(入力!$F$17&gt;=DATE(税率・条件!$C$1+2018,計算!AT$3+1,1),"",IF(入力!$F$17&gt;=DATE(税率・条件!$C$1+2018-75,計算!AT$3+1,1),IF(OR(AND(入力!L17="",OR(入力!M17="",入力!M17&gt;9,入力!M17&lt;4)),AND(入力!L17=4,OR(入力!M17="",入力!M17&gt;9,入力!M17&lt;4)),AND(入力!L17=5,OR(入力!M17="",入力!M17&gt;9,入力!M17&lt;4)),AND(入力!L17=6,OR(入力!M17="",入力!M17&gt;9,入力!M17&lt;4)),AND(入力!L17=7,OR(入力!M17="",入力!M17&gt;9,入力!M17&lt;4)),AND(入力!L17=8,OR(入力!M17="",入力!M17&gt;9,入力!M17&lt;4)),AND(入力!L17=9,OR(入力!M17="",入力!M17&gt;9,入力!M17&lt;4))),IF(OR(B6="未就学",B6="18歳未満"),"▲","●"),""),"")))</f>
        <v/>
      </c>
      <c r="AU6" s="192" t="str">
        <f>IF(入力!$F$17="","",IF(入力!$F$17&gt;=DATE(税率・条件!$C$1+2018,計算!AU$3+1,1),"",IF(入力!$F$17&gt;=DATE(税率・条件!$C$1+2018-75,計算!AU$3+1,1),IF(OR(AND(入力!L17="",OR(入力!M17="",入力!M17&gt;10,入力!M17&lt;4)),AND(入力!L17=4,OR(入力!M17="",入力!M17&gt;10,入力!M17&lt;4)),AND(入力!L17=5,OR(入力!M17="",入力!M17&gt;10,入力!M17&lt;4)),AND(入力!L17=6,OR(入力!M17="",入力!M17&gt;10,入力!M17&lt;4)),AND(入力!L17=7,OR(入力!M17="",入力!M17&gt;10,入力!M17&lt;4)),AND(入力!L17=8,OR(入力!M17="",入力!M17&gt;10,入力!M17&lt;4)),AND(入力!L17=9,OR(入力!M17="",入力!M17&gt;10,入力!M17&lt;4)),AND(入力!L17=10,OR(入力!M17="",入力!M17&gt;10,入力!M17&lt;4))),IF(OR(B6="未就学",B6="18歳未満"),"▲","●"),""),"")))</f>
        <v/>
      </c>
      <c r="AV6" s="192" t="str">
        <f>IF(入力!$F$17="","",IF(入力!$F$17&gt;=DATE(税率・条件!$C$1+2018,計算!AV$3+1,1),"",IF(入力!$F$17&gt;=DATE(税率・条件!$C$1+2018-75,計算!AV$3+1,1),IF(OR(AND(入力!L17="",OR(入力!M17="",入力!M17&gt;11,入力!M17&lt;4)),AND(入力!L17=4,OR(入力!M17="",入力!M17&gt;11,入力!M17&lt;4)),AND(入力!L17=5,OR(入力!M17="",入力!M17&gt;11,入力!M17&lt;4)),AND(入力!L17=6,OR(入力!M17="",入力!M17&gt;11,入力!M17&lt;4)),AND(入力!L17=7,OR(入力!M17="",入力!M17&gt;11,入力!M17&lt;4)),AND(入力!L17=8,OR(入力!M17="",入力!M17&gt;11,入力!M17&lt;4)),AND(入力!L17=9,OR(入力!M17="",入力!M17&gt;11,入力!M17&lt;4)),AND(入力!L17=10,OR(入力!M17="",入力!M17&gt;11,入力!M17&lt;4)),AND(入力!L17=11,OR(入力!M17="",入力!M17&gt;11,入力!M17&lt;4))),IF(OR(B6="未就学",B6="18歳未満"),"▲","●"),""),"")))</f>
        <v/>
      </c>
      <c r="AW6" s="192" t="str">
        <f>IF(入力!$F$17="","",IF(入力!$F$17&gt;=DATE(税率・条件!$C$1+2018,計算!AW$3+1,1),"",IF(入力!$F$17&gt;=DATE(税率・条件!$C$1+2018-75,計算!AW$3+1,1),IF(OR(AND(入力!L17="",OR(入力!M17="",入力!M17&gt;12,入力!M17&lt;4)),AND(入力!L17=4,OR(入力!M17="",入力!M17&gt;12,入力!M17&lt;4)),AND(入力!L17=5,OR(入力!M17="",入力!M17&gt;12,入力!M17&lt;4)),AND(入力!L17=6,OR(入力!M17="",入力!M17&gt;12,入力!M17&lt;4)),AND(入力!L17=7,OR(入力!M17="",入力!M17&gt;12,入力!M17&lt;4)),AND(入力!L17=8,OR(入力!M17="",入力!M17&gt;12,入力!M17&lt;4)),AND(入力!L17=9,OR(入力!M17="",入力!M17&gt;12,入力!M17&lt;4)),AND(入力!L17=10,OR(入力!M17="",入力!M17&gt;12,入力!M17&lt;4)),AND(入力!L17=11,OR(入力!M17="",入力!M17&gt;12,入力!M17&lt;4)),AND(入力!L17=12,OR(入力!M17="",入力!M17&gt;12,入力!M17&lt;4))),IF(OR(B6="未就学",B6="18歳未満"),"▲","●"),""),"")))</f>
        <v/>
      </c>
      <c r="AX6" s="192" t="str">
        <f>IF(入力!$F$17="","",IF(入力!$F$17&gt;=DATE(税率・条件!$C$1+2019,計算!AX$3+1,1),"",IF(入力!$F$17&gt;=DATE(税率・条件!$C$1+2019-75,計算!AX$3+1,1),IF(OR(AND(入力!L17="",OR(入力!M17="",入力!M17=2,入力!M17=3)),AND(入力!L17=4,OR(入力!M17="",入力!M17=2,入力!M17=3)),AND(入力!L17=5,OR(入力!M17="",入力!M17=2,入力!M17=3)),AND(入力!L17=6,OR(入力!M17="",入力!M17=2,入力!M17=3)),AND(入力!L17=7,OR(入力!M17="",入力!M17=2,入力!M17=3)),AND(入力!L17=8,OR(入力!M17="",入力!M17=2,入力!M17=3)),AND(入力!L17=9,OR(入力!M17="",入力!M17=2,入力!M17=3)),AND(入力!L17=10,OR(入力!M17="",入力!M17=2,入力!M17=3)),AND(入力!L17=11,OR(入力!M17="",入力!M17=2,入力!M17=3)),AND(入力!L17=12,OR(入力!M17="",入力!M17=2,入力!M17=3)),AND(入力!L17=1,OR(入力!M17="",入力!M17=2,入力!M17=3))),IF(OR(B6="未就学",B6="18歳未満"),"▲","●"),""),"")))</f>
        <v/>
      </c>
      <c r="AY6" s="192" t="str">
        <f>IF(入力!$F$17="","",IF(入力!$F$17&gt;=DATE(税率・条件!$C$1+2019,計算!AY$3+1,1),"",IF(入力!$F$17&gt;=DATE(税率・条件!$C$1+2019-75,計算!AY$3+1,1),IF(OR(AND(入力!L17="",OR(入力!M17="",入力!M17=3)),AND(入力!L17=4,OR(入力!M17="",入力!M17=3)),AND(入力!L17=5,OR(入力!M17="",入力!M17=3)),AND(入力!L17=6,OR(入力!M17="",入力!M17=3)),AND(入力!L17=7,OR(入力!M17="",入力!M17=3)),AND(入力!L17=8,OR(入力!M17="",入力!M17=3)),AND(入力!L17=9,OR(入力!M17="",入力!M17=3)),AND(入力!L17=10,OR(入力!M17="",入力!M17=3)),AND(入力!L17=11,OR(入力!M17="",入力!M17=3)),AND(入力!L17=12,OR(入力!M17="",入力!M17=3)),AND(入力!L17=1,OR(入力!M17="",入力!M17=3)),AND(入力!L17=2,OR(入力!M17="",入力!M17=3))),IF(OR(B6="未就学",B6="18歳未満"),"▲","●"),""),"")))</f>
        <v/>
      </c>
      <c r="AZ6" s="199" t="str">
        <f>IF(入力!$F$17="","",IF(入力!$F$17&gt;=DATE(税率・条件!$C$1+2019,計算!AZ$3+1,1),"",IF(入力!$F$17&gt;=DATE(税率・条件!$C$1+2019-75,計算!AZ$3+1,1),IF(OR(AND(入力!L17="",入力!M17=""),AND(入力!L17=4,入力!M17=""),AND(入力!L17=5,入力!M17=""),AND(入力!L17=6,入力!M17=""),AND(入力!L17=7,入力!M17=""),AND(入力!L17=8,入力!M17=""),AND(入力!L17=9,入力!M17=""),AND(入力!L17=10,入力!M17=""),AND(入力!L17=11,入力!M17=""),AND(入力!L17=12,入力!M17=""),AND(入力!L17=1,入力!M17=""),AND(入力!L17=2,入力!M17=""),AND(入力!L17=3,入力!M17="")),IF(OR(B6="未就学",B6="18歳未満"),"▲","●"),""),"")))</f>
        <v/>
      </c>
      <c r="BB6" s="204" t="str">
        <f>IF(AND(AO$20=1,AO6&lt;&gt;""),4,IF(AND(AP$20=1,AP6&lt;&gt;""),5,IF(AND(AQ$20=1,AQ6&lt;&gt;""),6,IF(AND(AR$20=1,AR6&lt;&gt;""),7,IF(AND(AS$20=1,AS6&lt;&gt;""),8,IF(AND(AT$20=1,AT6&lt;&gt;""),9,IF(AND(AU$20=1,AU6&lt;&gt;""),10,IF(AND(AV$20=1,AV6&lt;&gt;""),11,IF(AND(AW$20=1,AW6&lt;&gt;""),12,IF(AND(AX$20=1,AX6&lt;&gt;""),1,IF(AND(AY$20=1,AY6&lt;&gt;""),2,IF(AND(AZ$20=1,AZ6&lt;&gt;""),3,""))))))))))))</f>
        <v/>
      </c>
      <c r="BD6" s="210" t="s">
        <v>175</v>
      </c>
      <c r="BE6" s="217">
        <f t="shared" ref="BE6:BP6" si="2">ROUND(ROUNDDOWN((IF(AO$4="",0,$V4)+IF(AO$6="",0,$V6)+IF(AO$8="",0,$V8)+IF(AO$10="",0,$V10)+IF(AO$12="",0,$V12)+IF(AO$14="",0,$V14)+IF(AO$16="",0,$V16)+IF(AO$18="",0,$V18)),0)/12,2)</f>
        <v>0</v>
      </c>
      <c r="BF6" s="217">
        <f t="shared" si="2"/>
        <v>0</v>
      </c>
      <c r="BG6" s="217">
        <f t="shared" si="2"/>
        <v>0</v>
      </c>
      <c r="BH6" s="217">
        <f t="shared" si="2"/>
        <v>0</v>
      </c>
      <c r="BI6" s="217">
        <f t="shared" si="2"/>
        <v>0</v>
      </c>
      <c r="BJ6" s="217">
        <f t="shared" si="2"/>
        <v>0</v>
      </c>
      <c r="BK6" s="217">
        <f t="shared" si="2"/>
        <v>0</v>
      </c>
      <c r="BL6" s="217">
        <f t="shared" si="2"/>
        <v>0</v>
      </c>
      <c r="BM6" s="217">
        <f t="shared" si="2"/>
        <v>0</v>
      </c>
      <c r="BN6" s="217">
        <f t="shared" si="2"/>
        <v>0</v>
      </c>
      <c r="BO6" s="217">
        <f t="shared" si="2"/>
        <v>0</v>
      </c>
      <c r="BP6" s="217">
        <f t="shared" si="2"/>
        <v>0</v>
      </c>
      <c r="BQ6" s="221">
        <f t="shared" si="0"/>
        <v>0</v>
      </c>
      <c r="BR6" s="229">
        <f t="shared" si="1"/>
        <v>0</v>
      </c>
    </row>
    <row r="7" spans="1:70" ht="18.95" customHeight="1" x14ac:dyDescent="0.15">
      <c r="A7" s="390"/>
      <c r="B7" s="392"/>
      <c r="C7" s="385"/>
      <c r="D7" s="303"/>
      <c r="E7" s="303"/>
      <c r="F7" s="303"/>
      <c r="G7" s="387"/>
      <c r="H7" s="308"/>
      <c r="I7" s="301"/>
      <c r="J7" s="303"/>
      <c r="K7" s="303"/>
      <c r="L7" s="308"/>
      <c r="M7" s="310"/>
      <c r="N7" s="301"/>
      <c r="O7" s="303"/>
      <c r="P7" s="313"/>
      <c r="Q7" s="315"/>
      <c r="R7" s="317"/>
      <c r="S7" s="319"/>
      <c r="T7" s="389"/>
      <c r="U7" s="303"/>
      <c r="V7" s="303"/>
      <c r="W7" s="394"/>
      <c r="X7" s="305"/>
      <c r="Y7" s="301"/>
      <c r="Z7" s="303"/>
      <c r="AA7" s="303"/>
      <c r="AB7" s="394"/>
      <c r="AC7" s="305"/>
      <c r="AD7" s="301"/>
      <c r="AE7" s="303"/>
      <c r="AF7" s="303"/>
      <c r="AG7" s="394"/>
      <c r="AH7" s="305"/>
      <c r="AI7" s="301"/>
      <c r="AJ7" s="303"/>
      <c r="AK7" s="303"/>
      <c r="AL7" s="394"/>
      <c r="AM7" s="305"/>
      <c r="AN7" s="189" t="str">
        <f>IF(入力!$F$17="","",COUNTIF(AO7:AZ7,"■"))</f>
        <v/>
      </c>
      <c r="AO7" s="193" t="str">
        <f>IF(入力!$F$17="","",IF(AND(入力!$F$17&gt;DATE(税率・条件!$C$1+2018-65,計算!AO$3+1,1),入力!$F$17&lt;=DATE(税率・条件!$C$1+2018-40,計算!AO$3+1,1)),IF(OR(AND(入力!L17="",OR(入力!M17="",入力!M17&gt;4,入力!M17&lt;4)),AND(入力!L17=4,OR(入力!M17="",入力!M17&gt;4,入力!M17&lt;4))),"■",""),""))</f>
        <v/>
      </c>
      <c r="AP7" s="193" t="str">
        <f>IF(入力!$F$17="","",IF(AND(入力!$F$17&gt;DATE(税率・条件!$C$1+2018-65,計算!AP$3+1,1),入力!$F$17&lt;=DATE(税率・条件!$C$1+2018-40,計算!AP$3+1,1)),IF(OR(AND(入力!L17="",OR(入力!M17="",入力!M17&gt;5,入力!M17&lt;4)),AND(入力!L17=4,OR(入力!M17="",入力!M17&gt;5,入力!M17&lt;4)),AND(入力!L17=5,OR(入力!M17="",入力!M17&gt;5,入力!M17&lt;4))),"■",""),""))</f>
        <v/>
      </c>
      <c r="AQ7" s="193" t="str">
        <f>IF(入力!$F$17="","",IF(AND(入力!$F$17&gt;DATE(税率・条件!$C$1+2018-65,計算!AQ$3+1,1),入力!$F$17&lt;=DATE(税率・条件!$C$1+2018-40,計算!AQ$3+1,1)),IF(OR(AND(入力!L17="",OR(入力!M17="",入力!M17&gt;6,入力!M17&lt;4)),AND(入力!L17=4,OR(入力!M17="",入力!M17&gt;6,入力!M17&lt;4)),AND(入力!L17=5,OR(入力!M17="",入力!M17&gt;6,入力!M17&lt;4)),AND(入力!L17=6,OR(入力!M17="",入力!M17&gt;6,入力!M17&lt;4))),"■",""),""))</f>
        <v/>
      </c>
      <c r="AR7" s="193" t="str">
        <f>IF(入力!$F$17="","",IF(AND(入力!$F$17&gt;DATE(税率・条件!$C$1+2018-65,計算!AR$3+1,1),入力!$F$17&lt;=DATE(税率・条件!$C$1+2018-40,計算!AR$3+1,1)),IF(OR(AND(入力!L17="",OR(入力!M17="",入力!M17&gt;7,入力!M17&lt;4)),AND(入力!L17=4,OR(入力!M17="",入力!M17&gt;7,入力!M17&lt;4)),AND(入力!L17=5,OR(入力!M17="",入力!M17&gt;7,入力!M17&lt;4)),AND(入力!L17=6,OR(入力!M17="",入力!M17&gt;7,入力!M17&lt;4)),AND(入力!L17=7,OR(入力!M17="",入力!M17&gt;7,入力!M17&lt;4))),"■",""),""))</f>
        <v/>
      </c>
      <c r="AS7" s="193" t="str">
        <f>IF(入力!$F$17="","",IF(AND(入力!$F$17&gt;DATE(税率・条件!$C$1+2018-65,計算!AS$3+1,1),入力!$F$17&lt;=DATE(税率・条件!$C$1+2018-40,計算!AS$3+1,1)),IF(OR(AND(入力!L17="",OR(入力!M17="",入力!M17&gt;8,入力!M17&lt;4)),AND(入力!L17=4,OR(入力!M17="",入力!M17&gt;8,入力!M17&lt;4)),AND(入力!L17=5,OR(入力!M17="",入力!M17&gt;8,入力!M17&lt;4)),AND(入力!L17=6,OR(入力!M17="",入力!M17&gt;8,入力!M17&lt;4)),AND(入力!L17=7,OR(入力!M17="",入力!M17&gt;8,入力!M17&lt;4)),AND(入力!L17=8,OR(入力!M17="",入力!M17&gt;8,入力!M17&lt;4))),"■",""),""))</f>
        <v/>
      </c>
      <c r="AT7" s="193" t="str">
        <f>IF(入力!$F$17="","",IF(AND(入力!$F$17&gt;DATE(税率・条件!$C$1+2018-65,計算!AT$3+1,1),入力!$F$17&lt;=DATE(税率・条件!$C$1+2018-40,計算!AT$3+1,1)),IF(OR(AND(入力!L17="",OR(入力!M17="",入力!M17&gt;9,入力!M17&lt;4)),AND(入力!L17=4,OR(入力!M17="",入力!M17&gt;9,入力!M17&lt;4)),AND(入力!L17=5,OR(入力!M17="",入力!M17&gt;9,入力!M17&lt;4)),AND(入力!L17=6,OR(入力!M17="",入力!M17&gt;9,入力!M17&lt;4)),AND(入力!L17=7,OR(入力!M17="",入力!M17&gt;9,入力!M17&lt;4)),AND(入力!L17=8,OR(入力!M17="",入力!M17&gt;9,入力!M17&lt;4)),AND(入力!L17=9,OR(入力!M17="",入力!M17&gt;9,入力!M17&lt;4))),"■",""),""))</f>
        <v/>
      </c>
      <c r="AU7" s="193" t="str">
        <f>IF(入力!$F$17="","",IF(AND(入力!$F$17&gt;DATE(税率・条件!$C$1+2018-65,計算!AU$3+1,1),入力!$F$17&lt;=DATE(税率・条件!$C$1+2018-40,計算!AU$3+1,1)),IF(OR(AND(入力!L17="",OR(入力!M17="",入力!M17&gt;10,入力!M17&lt;4)),AND(入力!L17=4,OR(入力!M17="",入力!M17&gt;10,入力!M17&lt;4)),AND(入力!L17=5,OR(入力!M17="",入力!M17&gt;10,入力!M17&lt;4)),AND(入力!L17=6,OR(入力!M17="",入力!M17&gt;10,入力!M17&lt;4)),AND(入力!L17=7,OR(入力!M17="",入力!M17&gt;10,入力!M17&lt;4)),AND(入力!L17=8,OR(入力!M17="",入力!M17&gt;10,入力!M17&lt;4)),AND(入力!L17=9,OR(入力!M17="",入力!M17&gt;10,入力!M17&lt;4)),AND(入力!L17=10,OR(入力!M17="",入力!M17&gt;10,入力!M17&lt;4))),"■",""),""))</f>
        <v/>
      </c>
      <c r="AV7" s="193" t="str">
        <f>IF(入力!$F$17="","",IF(AND(入力!$F$17&gt;DATE(税率・条件!$C$1+2018-65,計算!AV$3+1,1),入力!$F$17&lt;=DATE(税率・条件!$C$1+2018-40,計算!AV$3+1,1)),IF(OR(AND(入力!L17="",OR(入力!M17="",入力!M17&gt;11,入力!M17&lt;4)),AND(入力!L17=4,OR(入力!M17="",入力!M17&gt;11,入力!M17&lt;4)),AND(入力!L17=5,OR(入力!M17="",入力!M17&gt;11,入力!M17&lt;4)),AND(入力!L17=6,OR(入力!M17="",入力!M17&gt;11,入力!M17&lt;4)),AND(入力!L17=7,OR(入力!M17="",入力!M17&gt;11,入力!M17&lt;4)),AND(入力!L17=8,OR(入力!M17="",入力!M17&gt;11,入力!M17&lt;4)),AND(入力!L17=9,OR(入力!M17="",入力!M17&gt;11,入力!M17&lt;4)),AND(入力!L17=10,OR(入力!M17="",入力!M17&gt;11,入力!M17&lt;4)),AND(入力!L17=11,OR(入力!M17="",入力!M17&gt;11,入力!M17&lt;4))),"■",""),""))</f>
        <v/>
      </c>
      <c r="AW7" s="193" t="str">
        <f>IF(入力!$F$17="","",IF(AND(入力!$F$17&gt;DATE(税率・条件!$C$1+2018-65,計算!AW$3+1,1),入力!$F$17&lt;=DATE(税率・条件!$C$1+2018-40,計算!AW$3+1,1)),IF(OR(AND(入力!L17="",OR(入力!M17="",入力!M17&gt;12,入力!M17&lt;4)),AND(入力!L17=4,OR(入力!M17="",入力!M17&gt;12,入力!M17&lt;4)),AND(入力!L17=5,OR(入力!M17="",入力!M17&gt;12,入力!M17&lt;4)),AND(入力!L17=6,OR(入力!M17="",入力!M17&gt;12,入力!M17&lt;4)),AND(入力!L17=7,OR(入力!M17="",入力!M17&gt;12,入力!M17&lt;4)),AND(入力!L17=8,OR(入力!M17="",入力!M17&gt;12,入力!M17&lt;4)),AND(入力!L17=9,OR(入力!M17="",入力!M17&gt;12,入力!M17&lt;4)),AND(入力!L17=10,OR(入力!M17="",入力!M17&gt;12,入力!M17&lt;4)),AND(入力!L17=11,OR(入力!M17="",入力!M17&gt;12,入力!M17&lt;4)),AND(入力!L17=12,OR(入力!M17="",入力!M17&gt;12,入力!M17&lt;4))),"■",""),""))</f>
        <v/>
      </c>
      <c r="AX7" s="193" t="str">
        <f>IF(入力!$F$17="","",IF(AND(入力!$F$17&gt;DATE(税率・条件!$C$1+2019-65,計算!AX$3+1,1),入力!$F$17&lt;=DATE(税率・条件!$C$1+2019-40,計算!AX$3+1,1)),IF(OR(AND(入力!L17="",OR(入力!M17="",入力!M17=2,入力!M17=3)),AND(入力!L17=4,OR(入力!M17="",入力!M17=2,入力!M17=3)),AND(入力!L17=5,OR(入力!M17="",入力!M17=2,入力!M17=3)),AND(入力!L17=6,OR(入力!M17="",入力!M17=2,入力!M17=3)),AND(入力!L17=7,OR(入力!M17="",入力!M17=2,入力!M17=3)),AND(入力!L17=8,OR(入力!M17="",入力!M17=2,入力!M17=3)),AND(入力!L17=9,OR(入力!M17="",入力!M17=2,入力!M17=3)),AND(入力!L17=10,OR(入力!M17="",入力!M17=2,入力!M17=3)),AND(入力!L17=11,OR(入力!M17="",入力!M17=2,入力!M17=3)),AND(入力!L17=12,OR(入力!M17="",入力!M17=2,入力!M17=3)),AND(入力!L17=1,OR(入力!M17="",入力!M17=2,入力!M17=3))),"■",""),""))</f>
        <v/>
      </c>
      <c r="AY7" s="193" t="str">
        <f>IF(入力!$F$17="","",IF(AND(入力!$F$17&gt;DATE(税率・条件!$C$1+2019-65,計算!AY$3+1,1),入力!$F$17&lt;=DATE(税率・条件!$C$1+2019-40,計算!AY$3+1,1)),IF(OR(AND(入力!L17="",OR(入力!M17="",入力!M17=3)),AND(入力!L17=4,OR(入力!M17="",入力!M17=3)),AND(入力!L17=5,OR(入力!M17="",入力!M17=3)),AND(入力!L17=6,OR(入力!M17="",入力!M17=3)),AND(入力!L17=7,OR(入力!M17="",入力!M17=3)),AND(入力!L17=8,OR(入力!M17="",入力!M17=3)),AND(入力!L17=9,OR(入力!M17="",入力!M17=3)),AND(入力!L17=10,OR(入力!M17="",入力!M17=3)),AND(入力!L17=11,OR(入力!M17="",入力!M17=3)),AND(入力!L17=12,OR(入力!M17="",入力!M17=3)),AND(入力!L17=1,OR(入力!M17="",入力!M17=3)),AND(入力!L17=2,OR(入力!M17="",入力!M17=3))),"■",""),""))</f>
        <v/>
      </c>
      <c r="AZ7" s="200" t="str">
        <f>IF(入力!$F$17="","",IF(AND(入力!$F$17&gt;DATE(税率・条件!$C$1+2019-65,計算!AZ$3+1,1),入力!$F$17&lt;=DATE(税率・条件!$C$1+2019-40,計算!AZ$3+1,1)),IF(OR(AND(入力!L17="",入力!M17=""),AND(入力!L17=4,入力!M17=""),AND(入力!L17=5,入力!M17=""),AND(入力!L17=6,入力!M17=""),AND(入力!L17=7,入力!M17=""),AND(入力!L17=8,入力!M17=""),AND(入力!L17=9,入力!M17=""),AND(入力!L17=10,入力!M17=""),AND(入力!L17=11,入力!M17=""),AND(入力!L17=12,入力!M17=""),AND(入力!L17=1,入力!M17=""),AND(入力!L17=2,入力!M17=""),AND(入力!L17=3,入力!M17="")),"■",""),""))</f>
        <v/>
      </c>
      <c r="BD7" s="210" t="s">
        <v>176</v>
      </c>
      <c r="BE7" s="217">
        <f t="shared" ref="BE7:BP7" si="3">ROUND(ROUNDDOWN(IF(AO$20="",0,$W4),0)/12,2)</f>
        <v>0</v>
      </c>
      <c r="BF7" s="217">
        <f t="shared" si="3"/>
        <v>0</v>
      </c>
      <c r="BG7" s="217">
        <f t="shared" si="3"/>
        <v>0</v>
      </c>
      <c r="BH7" s="217">
        <f t="shared" si="3"/>
        <v>0</v>
      </c>
      <c r="BI7" s="217">
        <f t="shared" si="3"/>
        <v>0</v>
      </c>
      <c r="BJ7" s="217">
        <f t="shared" si="3"/>
        <v>0</v>
      </c>
      <c r="BK7" s="217">
        <f t="shared" si="3"/>
        <v>0</v>
      </c>
      <c r="BL7" s="217">
        <f t="shared" si="3"/>
        <v>0</v>
      </c>
      <c r="BM7" s="217">
        <f t="shared" si="3"/>
        <v>0</v>
      </c>
      <c r="BN7" s="217">
        <f t="shared" si="3"/>
        <v>0</v>
      </c>
      <c r="BO7" s="217">
        <f t="shared" si="3"/>
        <v>0</v>
      </c>
      <c r="BP7" s="217">
        <f t="shared" si="3"/>
        <v>0</v>
      </c>
      <c r="BQ7" s="221">
        <f t="shared" si="0"/>
        <v>0</v>
      </c>
      <c r="BR7" s="229">
        <f t="shared" si="1"/>
        <v>0</v>
      </c>
    </row>
    <row r="8" spans="1:70" ht="18.95" customHeight="1" x14ac:dyDescent="0.15">
      <c r="A8" s="381" t="str">
        <f>入力!E18</f>
        <v>３</v>
      </c>
      <c r="B8" s="391" t="str">
        <f>IF(入力!F18="","",IF(入力!F18&lt;=DATE(税率・条件!C1+1953,1,1),"65歳以上",IF(入力!F18&gt;DATE(税率・条件!C1+2012,4,1),"未就学",IF(入力!F18&gt;DATE(税率・条件!C1+2000,4,1),"18歳未満","一般"))))</f>
        <v/>
      </c>
      <c r="C8" s="384" t="str">
        <f>IF(D8="","",IF(入力!K18="該 当","該当","非該当"))</f>
        <v/>
      </c>
      <c r="D8" s="306" t="str">
        <f>IF(入力!G18="","",ROUNDDOWN(VLOOKUP(入力!G18,$B$24:$J$30,4,1)*IF(入力!K18="該 当",0.3,1),0))</f>
        <v/>
      </c>
      <c r="E8" s="306" t="str">
        <f>IF(D8="","",IF(OR(D8="",K8=""),0,IF(D8+K8&lt;100000,0,IF(D8&lt;100000,D8,100000)+IF(K8&lt;100000,K8,100000)-100000)))</f>
        <v/>
      </c>
      <c r="F8" s="306" t="str">
        <f>IF(D8="","",D8-E8)</f>
        <v/>
      </c>
      <c r="G8" s="386" t="str">
        <f>IF(D8="","",IF(OR(D8="",L8=""),0,IF(D8+L8&lt;100000,0,IF(D8&lt;100000,D8,100000)+IF(L8&lt;100000,L8,100000)-100000)))</f>
        <v/>
      </c>
      <c r="H8" s="307" t="str">
        <f>IF(D8="","",D8-G8)</f>
        <v/>
      </c>
      <c r="I8" s="311" t="str">
        <f>IF(入力!H18="","",IF(B8="65歳以上",VLOOKUP(入力!H18,$B$43:$D$47,2,1),VLOOKUP(入力!H18,$B$35:$D$39,2,1)))</f>
        <v/>
      </c>
      <c r="J8" s="306" t="str">
        <f>IF(I8="","",IF(B8="65歳以上",VLOOKUP(入力!H18,$B$43:$D$47,3,1),VLOOKUP(入力!H18,$B$35:$D$39,3,1)))</f>
        <v/>
      </c>
      <c r="K8" s="306" t="str">
        <f>IF(I8="","",IF(入力!H18*計算!I8/100-計算!J8&lt;0,0,ROUNDDOWN(入力!H18*計算!I8/100-計算!J8,0)))</f>
        <v/>
      </c>
      <c r="L8" s="307" t="str">
        <f>IF(K8="","",IF(B8="65歳以上",IF(K8&lt;税率・条件!$G$9,0,K8-税率・条件!$G$9),K8))</f>
        <v/>
      </c>
      <c r="M8" s="309" t="str">
        <f>IF(入力!I18="","",入力!I18)</f>
        <v/>
      </c>
      <c r="N8" s="311" t="str">
        <f>IF(入力!F18="","",SUM(F8,K8,M8))</f>
        <v/>
      </c>
      <c r="O8" s="306" t="str">
        <f>IF(入力!P18&lt;&gt;"",IF(計算!N8-430000&gt;0,計算!N8-430000,0),"")</f>
        <v/>
      </c>
      <c r="P8" s="312" t="str">
        <f>IF(入力!Q18&lt;&gt;"",IF(計算!N8-430000&gt;0,計算!N8-430000,0),"")</f>
        <v/>
      </c>
      <c r="Q8" s="314" t="str">
        <f>IF(N8="","",IF(BB8&lt;&gt;BB20,"",SUM(H8,L8,M8)))</f>
        <v/>
      </c>
      <c r="R8" s="316" t="str">
        <f>IF(AND(D8="",K8=""),"",IF(BB8&lt;&gt;BB20,"",IF(OR(入力!G18&gt;税率・条件!K5,AND(B8="65歳以上",入力!H18&gt;税率・条件!K7),AND(B8&lt;&gt;"65歳以上",入力!H18&gt;税率・条件!K6)),1,"")))</f>
        <v/>
      </c>
      <c r="S8" s="318" t="str">
        <f>IF(N8="","",IF(AND(入力!$H$25&lt;&gt;"",入力!$C$19="全員申告済み",$BB$8=$BB$20),"該当",""))</f>
        <v/>
      </c>
      <c r="T8" s="388" t="str">
        <f>IF($O8="","",ROUNDDOWN($O8*税率・条件!$C$4/100,0))</f>
        <v/>
      </c>
      <c r="U8" s="302" t="str">
        <f>IF(入力!$P18="","",ROUNDDOWN(入力!$J18*税率・条件!$C$5/100,0))</f>
        <v/>
      </c>
      <c r="V8" s="302" t="str">
        <f>IF(入力!$P18="","",ROUNDDOWN(税率・条件!$C$6*(100%-IF(B8="未就学",税率・条件!$H$11,0%))*(100%-$M$34),0))</f>
        <v/>
      </c>
      <c r="W8" s="393"/>
      <c r="X8" s="304" t="str">
        <f>IF(SUM(T8:W8)&gt;0,SUM(T8:W8),"")</f>
        <v/>
      </c>
      <c r="Y8" s="300" t="str">
        <f>IF($O8="","",ROUNDDOWN($O8*税率・条件!$C$9/100,0))</f>
        <v/>
      </c>
      <c r="Z8" s="302" t="str">
        <f>IF(入力!$P18="","",ROUNDDOWN(入力!$J18*税率・条件!$C$10/100,0))</f>
        <v/>
      </c>
      <c r="AA8" s="302" t="str">
        <f>IF(入力!$P18="","",ROUNDDOWN(税率・条件!$C$11*(100%-IF(B8="未就学",税率・条件!$H$11,0%))*(100%-$M$34),0))</f>
        <v/>
      </c>
      <c r="AB8" s="393"/>
      <c r="AC8" s="304" t="str">
        <f>IF(SUM(Y8:AB8)&gt;0,SUM(Y8:AB8),"")</f>
        <v/>
      </c>
      <c r="AD8" s="300" t="str">
        <f>IF($P8="","",ROUNDDOWN($P8*税率・条件!$C$14/100,0))</f>
        <v/>
      </c>
      <c r="AE8" s="302" t="str">
        <f>IF(入力!$Q18="","",ROUNDDOWN(入力!$J18*税率・条件!$C$15/100,0))</f>
        <v/>
      </c>
      <c r="AF8" s="302" t="str">
        <f>IF(入力!$Q18="","",ROUNDDOWN(税率・条件!$C$16*(100%-$M$34),0))</f>
        <v/>
      </c>
      <c r="AG8" s="393"/>
      <c r="AH8" s="304" t="str">
        <f>IF(SUM(AD8:AG8)&gt;0,SUM(AD8:AG8),"")</f>
        <v/>
      </c>
      <c r="AI8" s="300" t="str">
        <f>IF($O8="","",ROUNDDOWN($O8*税率・条件!$C$19/100,0))</f>
        <v/>
      </c>
      <c r="AJ8" s="302" t="str">
        <f>IF(入力!$P18="","",ROUNDDOWN(入力!$J18*税率・条件!$C$20/100,0))</f>
        <v/>
      </c>
      <c r="AK8" s="302" t="str">
        <f>IF(入力!$P18="","",ROUNDDOWN(IF(OR(B8="18歳未満",B8="未就学"),0,税率・条件!$C$21)*(100%-$M$34),0))</f>
        <v/>
      </c>
      <c r="AL8" s="393"/>
      <c r="AM8" s="304" t="str">
        <f>IF(SUM(AI8:AL8)&gt;0,SUM(AI8:AL8),"")</f>
        <v/>
      </c>
      <c r="AN8" s="188" t="str">
        <f>IF(入力!$F$18="","",COUNTIF(AO8:AZ8,"●")+COUNTIF(AO8:AZ8,"▲"))</f>
        <v/>
      </c>
      <c r="AO8" s="192" t="str">
        <f>IF(入力!$F$18="","",IF(入力!$F$18&gt;=DATE(税率・条件!$C$1+2018,計算!AO$3+1,1),"",IF(入力!$F$18&gt;=DATE(税率・条件!$C$1+2018-75,計算!AO$3+1,1),IF(OR(AND(入力!L18="",OR(入力!M18="",入力!M18&gt;4,入力!M18&lt;4)),AND(入力!L18=4,OR(入力!M18="",入力!M18&gt;4,入力!M18&lt;4))),IF(OR(B8="未就学",B8="18歳未満"),"▲","●"),""),"")))</f>
        <v/>
      </c>
      <c r="AP8" s="192" t="str">
        <f>IF(入力!$F$18="","",IF(入力!$F$18&gt;=DATE(税率・条件!$C$1+2018,計算!AP$3+1,1),"",IF(入力!$F$18&gt;=DATE(税率・条件!$C$1+2018-75,計算!AP$3+1,1),IF(OR(AND(入力!L18="",OR(入力!M18="",入力!M18&gt;5,入力!M18&lt;4)),AND(入力!L18=4,OR(入力!M18="",入力!M18&gt;5,入力!M18&lt;4)),AND(入力!L18=5,OR(入力!M18="",入力!M18&gt;5,入力!M18&lt;4))),IF(OR(B8="未就学",B8="18歳未満"),"▲","●"),""),"")))</f>
        <v/>
      </c>
      <c r="AQ8" s="192" t="str">
        <f>IF(入力!$F$18="","",IF(入力!$F$18&gt;=DATE(税率・条件!$C$1+2018,計算!AQ$3+1,1),"",IF(入力!$F$18&gt;=DATE(税率・条件!$C$1+2018-75,計算!AQ$3+1,1),IF(OR(AND(入力!L18="",OR(入力!M18="",入力!M18&gt;6,入力!M18&lt;4)),AND(入力!L18=4,OR(入力!M18="",入力!M18&gt;6,入力!M18&lt;4)),AND(入力!L18=5,OR(入力!M18="",入力!M18&gt;6,入力!M18&lt;4)),AND(入力!L18=6,OR(入力!M18="",入力!M18&gt;6,入力!M18&lt;4))),IF(OR(B8="未就学",B8="18歳未満"),"▲","●"),""),"")))</f>
        <v/>
      </c>
      <c r="AR8" s="192" t="str">
        <f>IF(入力!$F$18="","",IF(入力!$F$18&gt;=DATE(税率・条件!$C$1+2018,計算!AR$3+1,1),"",IF(入力!$F$18&gt;=DATE(税率・条件!$C$1+2018-75,計算!AR$3+1,1),IF(OR(AND(入力!L18="",OR(入力!M18="",入力!M18&gt;7,入力!M18&lt;4)),AND(入力!L18=4,OR(入力!M18="",入力!M18&gt;7,入力!M18&lt;4)),AND(入力!L18=5,OR(入力!M18="",入力!M18&gt;7,入力!M18&lt;4)),AND(入力!L18=6,OR(入力!M18="",入力!M18&gt;7,入力!M18&lt;4)),AND(入力!L18=7,OR(入力!M18="",入力!M18&gt;7,入力!M18&lt;4))),IF(OR(B8="未就学",B8="18歳未満"),"▲","●"),""),"")))</f>
        <v/>
      </c>
      <c r="AS8" s="192" t="str">
        <f>IF(入力!$F$18="","",IF(入力!$F$18&gt;=DATE(税率・条件!$C$1+2018,計算!AS$3+1,1),"",IF(入力!$F$18&gt;=DATE(税率・条件!$C$1+2018-75,計算!AS$3+1,1),IF(OR(AND(入力!L18="",OR(入力!M18="",入力!M18&gt;8,入力!M18&lt;4)),AND(入力!L18=4,OR(入力!M18="",入力!M18&gt;8,入力!M18&lt;4)),AND(入力!L18=5,OR(入力!M18="",入力!M18&gt;8,入力!M18&lt;4)),AND(入力!L18=6,OR(入力!M18="",入力!M18&gt;8,入力!M18&lt;4)),AND(入力!L18=7,OR(入力!M18="",入力!M18&gt;8,入力!M18&lt;4)),AND(入力!L18=8,OR(入力!M18="",入力!M18&gt;8,入力!M18&lt;4))),IF(OR(B8="未就学",B8="18歳未満"),"▲","●"),""),"")))</f>
        <v/>
      </c>
      <c r="AT8" s="192" t="str">
        <f>IF(入力!$F$18="","",IF(入力!$F$18&gt;=DATE(税率・条件!$C$1+2018,計算!AT$3+1,1),"",IF(入力!$F$18&gt;=DATE(税率・条件!$C$1+2018-75,計算!AT$3+1,1),IF(OR(AND(入力!L18="",OR(入力!M18="",入力!M18&gt;9,入力!M18&lt;4)),AND(入力!L18=4,OR(入力!M18="",入力!M18&gt;9,入力!M18&lt;4)),AND(入力!L18=5,OR(入力!M18="",入力!M18&gt;9,入力!M18&lt;4)),AND(入力!L18=6,OR(入力!M18="",入力!M18&gt;9,入力!M18&lt;4)),AND(入力!L18=7,OR(入力!M18="",入力!M18&gt;9,入力!M18&lt;4)),AND(入力!L18=8,OR(入力!M18="",入力!M18&gt;9,入力!M18&lt;4)),AND(入力!L18=9,OR(入力!M18="",入力!M18&gt;9,入力!M18&lt;4))),IF(OR(B8="未就学",B8="18歳未満"),"▲","●"),""),"")))</f>
        <v/>
      </c>
      <c r="AU8" s="192" t="str">
        <f>IF(入力!$F$18="","",IF(入力!$F$18&gt;=DATE(税率・条件!$C$1+2018,計算!AU$3+1,1),"",IF(入力!$F$18&gt;=DATE(税率・条件!$C$1+2018-75,計算!AU$3+1,1),IF(OR(AND(入力!L18="",OR(入力!M18="",入力!M18&gt;10,入力!M18&lt;4)),AND(入力!L18=4,OR(入力!M18="",入力!M18&gt;10,入力!M18&lt;4)),AND(入力!L18=5,OR(入力!M18="",入力!M18&gt;10,入力!M18&lt;4)),AND(入力!L18=6,OR(入力!M18="",入力!M18&gt;10,入力!M18&lt;4)),AND(入力!L18=7,OR(入力!M18="",入力!M18&gt;10,入力!M18&lt;4)),AND(入力!L18=8,OR(入力!M18="",入力!M18&gt;10,入力!M18&lt;4)),AND(入力!L18=9,OR(入力!M18="",入力!M18&gt;10,入力!M18&lt;4)),AND(入力!L18=10,OR(入力!M18="",入力!M18&gt;10,入力!M18&lt;4))),IF(OR(B8="未就学",B8="18歳未満"),"▲","●"),""),"")))</f>
        <v/>
      </c>
      <c r="AV8" s="192" t="str">
        <f>IF(入力!$F$18="","",IF(入力!$F$18&gt;=DATE(税率・条件!$C$1+2018,計算!AV$3+1,1),"",IF(入力!$F$18&gt;=DATE(税率・条件!$C$1+2018-75,計算!AV$3+1,1),IF(OR(AND(入力!L18="",OR(入力!M18="",入力!M18&gt;11,入力!M18&lt;4)),AND(入力!L18=4,OR(入力!M18="",入力!M18&gt;11,入力!M18&lt;4)),AND(入力!L18=5,OR(入力!M18="",入力!M18&gt;11,入力!M18&lt;4)),AND(入力!L18=6,OR(入力!M18="",入力!M18&gt;11,入力!M18&lt;4)),AND(入力!L18=7,OR(入力!M18="",入力!M18&gt;11,入力!M18&lt;4)),AND(入力!L18=8,OR(入力!M18="",入力!M18&gt;11,入力!M18&lt;4)),AND(入力!L18=9,OR(入力!M18="",入力!M18&gt;11,入力!M18&lt;4)),AND(入力!L18=10,OR(入力!M18="",入力!M18&gt;11,入力!M18&lt;4)),AND(入力!L18=11,OR(入力!M18="",入力!M18&gt;11,入力!M18&lt;4))),IF(OR(B8="未就学",B8="18歳未満"),"▲","●"),""),"")))</f>
        <v/>
      </c>
      <c r="AW8" s="192" t="str">
        <f>IF(入力!$F$18="","",IF(入力!$F$18&gt;=DATE(税率・条件!$C$1+2018,計算!AW$3+1,1),"",IF(入力!$F$18&gt;=DATE(税率・条件!$C$1+2018-75,計算!AW$3+1,1),IF(OR(AND(入力!L18="",OR(入力!M18="",入力!M18&gt;12,入力!M18&lt;4)),AND(入力!L18=4,OR(入力!M18="",入力!M18&gt;12,入力!M18&lt;4)),AND(入力!L18=5,OR(入力!M18="",入力!M18&gt;12,入力!M18&lt;4)),AND(入力!L18=6,OR(入力!M18="",入力!M18&gt;12,入力!M18&lt;4)),AND(入力!L18=7,OR(入力!M18="",入力!M18&gt;12,入力!M18&lt;4)),AND(入力!L18=8,OR(入力!M18="",入力!M18&gt;12,入力!M18&lt;4)),AND(入力!L18=9,OR(入力!M18="",入力!M18&gt;12,入力!M18&lt;4)),AND(入力!L18=10,OR(入力!M18="",入力!M18&gt;12,入力!M18&lt;4)),AND(入力!L18=11,OR(入力!M18="",入力!M18&gt;12,入力!M18&lt;4)),AND(入力!L18=12,OR(入力!M18="",入力!M18&gt;12,入力!M18&lt;4))),IF(OR(B8="未就学",B8="18歳未満"),"▲","●"),""),"")))</f>
        <v/>
      </c>
      <c r="AX8" s="192" t="str">
        <f>IF(入力!$F$18="","",IF(入力!$F$18&gt;=DATE(税率・条件!$C$1+2019,計算!AX$3+1,1),"",IF(入力!$F$18&gt;=DATE(税率・条件!$C$1+2019-75,計算!AX$3+1,1),IF(OR(AND(入力!L18="",OR(入力!M18="",入力!M18=2,入力!M18=3)),AND(入力!L18=4,OR(入力!M18="",入力!M18=2,入力!M18=3)),AND(入力!L18=5,OR(入力!M18="",入力!M18=2,入力!M18=3)),AND(入力!L18=6,OR(入力!M18="",入力!M18=2,入力!M18=3)),AND(入力!L18=7,OR(入力!M18="",入力!M18=2,入力!M18=3)),AND(入力!L18=8,OR(入力!M18="",入力!M18=2,入力!M18=3)),AND(入力!L18=9,OR(入力!M18="",入力!M18=2,入力!M18=3)),AND(入力!L18=10,OR(入力!M18="",入力!M18=2,入力!M18=3)),AND(入力!L18=11,OR(入力!M18="",入力!M18=2,入力!M18=3)),AND(入力!L18=12,OR(入力!M18="",入力!M18=2,入力!M18=3)),AND(入力!L18=1,OR(入力!M18="",入力!M18=2,入力!M18=3))),IF(OR(B8="未就学",B8="18歳未満"),"▲","●"),""),"")))</f>
        <v/>
      </c>
      <c r="AY8" s="192" t="str">
        <f>IF(入力!$F$18="","",IF(入力!$F$18&gt;=DATE(税率・条件!$C$1+2019,計算!AY$3+1,1),"",IF(入力!$F$18&gt;=DATE(税率・条件!$C$1+2019-75,計算!AY$3+1,1),IF(OR(AND(入力!L18="",OR(入力!M18="",入力!M18=3)),AND(入力!L18=4,OR(入力!M18="",入力!M18=3)),AND(入力!L18=5,OR(入力!M18="",入力!M18=3)),AND(入力!L18=6,OR(入力!M18="",入力!M18=3)),AND(入力!L18=7,OR(入力!M18="",入力!M18=3)),AND(入力!L18=8,OR(入力!M18="",入力!M18=3)),AND(入力!L18=9,OR(入力!M18="",入力!M18=3)),AND(入力!L18=10,OR(入力!M18="",入力!M18=3)),AND(入力!L18=11,OR(入力!M18="",入力!M18=3)),AND(入力!L18=12,OR(入力!M18="",入力!M18=3)),AND(入力!L18=1,OR(入力!M18="",入力!M18=3)),AND(入力!L18=2,OR(入力!M18="",入力!M18=3))),IF(OR(B8="未就学",B8="18歳未満"),"▲","●"),""),"")))</f>
        <v/>
      </c>
      <c r="AZ8" s="199" t="str">
        <f>IF(入力!$F$18="","",IF(入力!$F$18&gt;=DATE(税率・条件!$C$1+2019,計算!AZ$3+1,1),"",IF(入力!$F$18&gt;=DATE(税率・条件!$C$1+2019-75,計算!AZ$3+1,1),IF(OR(AND(入力!L18="",入力!M18=""),AND(入力!L18=4,入力!M18=""),AND(入力!L18=5,入力!M18=""),AND(入力!L18=6,入力!M18=""),AND(入力!L18=7,入力!M18=""),AND(入力!L18=8,入力!M18=""),AND(入力!L18=9,入力!M18=""),AND(入力!L18=10,入力!M18=""),AND(入力!L18=11,入力!M18=""),AND(入力!L18=12,入力!M18=""),AND(入力!L18=1,入力!M18=""),AND(入力!L18=2,入力!M18=""),AND(入力!L18=3,入力!M18="")),IF(OR(B8="未就学",B8="18歳未満"),"▲","●"),""),"")))</f>
        <v/>
      </c>
      <c r="BB8" s="204" t="str">
        <f>IF(AND(AO$20=1,AO8&lt;&gt;""),4,IF(AND(AP$20=1,AP8&lt;&gt;""),5,IF(AND(AQ$20=1,AQ8&lt;&gt;""),6,IF(AND(AR$20=1,AR8&lt;&gt;""),7,IF(AND(AS$20=1,AS8&lt;&gt;""),8,IF(AND(AT$20=1,AT8&lt;&gt;""),9,IF(AND(AU$20=1,AU8&lt;&gt;""),10,IF(AND(AV$20=1,AV8&lt;&gt;""),11,IF(AND(AW$20=1,AW8&lt;&gt;""),12,IF(AND(AX$20=1,AX8&lt;&gt;""),1,IF(AND(AY$20=1,AY8&lt;&gt;""),2,IF(AND(AZ$20=1,AZ8&lt;&gt;""),3,""))))))))))))</f>
        <v/>
      </c>
      <c r="BD8" s="211" t="s">
        <v>185</v>
      </c>
      <c r="BE8" s="218">
        <f t="shared" ref="BE8:BP8" si="4">SUM(BE4:BE7)</f>
        <v>0</v>
      </c>
      <c r="BF8" s="218">
        <f t="shared" si="4"/>
        <v>0</v>
      </c>
      <c r="BG8" s="218">
        <f t="shared" si="4"/>
        <v>0</v>
      </c>
      <c r="BH8" s="218">
        <f t="shared" si="4"/>
        <v>0</v>
      </c>
      <c r="BI8" s="218">
        <f t="shared" si="4"/>
        <v>0</v>
      </c>
      <c r="BJ8" s="218">
        <f t="shared" si="4"/>
        <v>0</v>
      </c>
      <c r="BK8" s="218">
        <f t="shared" si="4"/>
        <v>0</v>
      </c>
      <c r="BL8" s="218">
        <f t="shared" si="4"/>
        <v>0</v>
      </c>
      <c r="BM8" s="218">
        <f t="shared" si="4"/>
        <v>0</v>
      </c>
      <c r="BN8" s="218">
        <f t="shared" si="4"/>
        <v>0</v>
      </c>
      <c r="BO8" s="218">
        <f t="shared" si="4"/>
        <v>0</v>
      </c>
      <c r="BP8" s="218">
        <f t="shared" si="4"/>
        <v>0</v>
      </c>
      <c r="BQ8" s="218">
        <f t="shared" si="0"/>
        <v>0</v>
      </c>
      <c r="BR8" s="230">
        <f t="shared" si="1"/>
        <v>0</v>
      </c>
    </row>
    <row r="9" spans="1:70" ht="18.95" customHeight="1" x14ac:dyDescent="0.15">
      <c r="A9" s="390"/>
      <c r="B9" s="392"/>
      <c r="C9" s="385"/>
      <c r="D9" s="303"/>
      <c r="E9" s="303"/>
      <c r="F9" s="303"/>
      <c r="G9" s="387"/>
      <c r="H9" s="308"/>
      <c r="I9" s="301"/>
      <c r="J9" s="303"/>
      <c r="K9" s="303"/>
      <c r="L9" s="308"/>
      <c r="M9" s="310"/>
      <c r="N9" s="301"/>
      <c r="O9" s="303"/>
      <c r="P9" s="313"/>
      <c r="Q9" s="315"/>
      <c r="R9" s="317"/>
      <c r="S9" s="319"/>
      <c r="T9" s="389"/>
      <c r="U9" s="303"/>
      <c r="V9" s="303"/>
      <c r="W9" s="394"/>
      <c r="X9" s="305"/>
      <c r="Y9" s="301"/>
      <c r="Z9" s="303"/>
      <c r="AA9" s="303"/>
      <c r="AB9" s="394"/>
      <c r="AC9" s="305"/>
      <c r="AD9" s="301"/>
      <c r="AE9" s="303"/>
      <c r="AF9" s="303"/>
      <c r="AG9" s="394"/>
      <c r="AH9" s="305"/>
      <c r="AI9" s="301"/>
      <c r="AJ9" s="303"/>
      <c r="AK9" s="303"/>
      <c r="AL9" s="394"/>
      <c r="AM9" s="305"/>
      <c r="AN9" s="189" t="str">
        <f>IF(入力!$F$18="","",COUNTIF(AO9:AZ9,"■"))</f>
        <v/>
      </c>
      <c r="AO9" s="193" t="str">
        <f>IF(入力!$F$18="","",IF(AND(入力!$F$18&gt;DATE(税率・条件!$C$1+2018-65,計算!AO$3+1,1),入力!$F$18&lt;=DATE(税率・条件!$C$1+2018-40,計算!AO$3+1,1)),IF(OR(AND(入力!L18="",OR(入力!M18="",入力!M18&gt;4,入力!M18&lt;4)),AND(入力!L18=4,OR(入力!M18="",入力!M18&gt;4,入力!M18&lt;4))),"■",""),""))</f>
        <v/>
      </c>
      <c r="AP9" s="193" t="str">
        <f>IF(入力!$F$18="","",IF(AND(入力!$F$18&gt;DATE(税率・条件!$C$1+2018-65,計算!AP$3+1,1),入力!$F$18&lt;=DATE(税率・条件!$C$1+2018-40,計算!AP$3+1,1)),IF(OR(AND(入力!L18="",OR(入力!M18="",入力!M18&gt;5,入力!M18&lt;4)),AND(入力!L18=4,OR(入力!M18="",入力!M18&gt;5,入力!M18&lt;4)),AND(入力!L18=5,OR(入力!M18="",入力!M18&gt;5,入力!M18&lt;4))),"■",""),""))</f>
        <v/>
      </c>
      <c r="AQ9" s="193" t="str">
        <f>IF(入力!$F$18="","",IF(AND(入力!$F$18&gt;DATE(税率・条件!$C$1+2018-65,計算!AQ$3+1,1),入力!$F$18&lt;=DATE(税率・条件!$C$1+2018-40,計算!AQ$3+1,1)),IF(OR(AND(入力!L18="",OR(入力!M18="",入力!M18&gt;6,入力!M18&lt;4)),AND(入力!L18=4,OR(入力!M18="",入力!M18&gt;6,入力!M18&lt;4)),AND(入力!L18=5,OR(入力!M18="",入力!M18&gt;6,入力!M18&lt;4)),AND(入力!L18=6,OR(入力!M18="",入力!M18&gt;6,入力!M18&lt;4))),"■",""),""))</f>
        <v/>
      </c>
      <c r="AR9" s="193" t="str">
        <f>IF(入力!$F$18="","",IF(AND(入力!$F$18&gt;DATE(税率・条件!$C$1+2018-65,計算!AR$3+1,1),入力!$F$18&lt;=DATE(税率・条件!$C$1+2018-40,計算!AR$3+1,1)),IF(OR(AND(入力!L18="",OR(入力!M18="",入力!M18&gt;7,入力!M18&lt;4)),AND(入力!L18=4,OR(入力!M18="",入力!M18&gt;7,入力!M18&lt;4)),AND(入力!L18=5,OR(入力!M18="",入力!M18&gt;7,入力!M18&lt;4)),AND(入力!L18=6,OR(入力!M18="",入力!M18&gt;7,入力!M18&lt;4)),AND(入力!L18=7,OR(入力!M18="",入力!M18&gt;7,入力!M18&lt;4))),"■",""),""))</f>
        <v/>
      </c>
      <c r="AS9" s="193" t="str">
        <f>IF(入力!$F$18="","",IF(AND(入力!$F$18&gt;DATE(税率・条件!$C$1+2018-65,計算!AS$3+1,1),入力!$F$18&lt;=DATE(税率・条件!$C$1+2018-40,計算!AS$3+1,1)),IF(OR(AND(入力!L18="",OR(入力!M18="",入力!M18&gt;8,入力!M18&lt;4)),AND(入力!L18=4,OR(入力!M18="",入力!M18&gt;8,入力!M18&lt;4)),AND(入力!L18=5,OR(入力!M18="",入力!M18&gt;8,入力!M18&lt;4)),AND(入力!L18=6,OR(入力!M18="",入力!M18&gt;8,入力!M18&lt;4)),AND(入力!L18=7,OR(入力!M18="",入力!M18&gt;8,入力!M18&lt;4)),AND(入力!L18=8,OR(入力!M18="",入力!M18&gt;8,入力!M18&lt;4))),"■",""),""))</f>
        <v/>
      </c>
      <c r="AT9" s="193" t="str">
        <f>IF(入力!$F$18="","",IF(AND(入力!$F$18&gt;DATE(税率・条件!$C$1+2018-65,計算!AT$3+1,1),入力!$F$18&lt;=DATE(税率・条件!$C$1+2018-40,計算!AT$3+1,1)),IF(OR(AND(入力!L18="",OR(入力!M18="",入力!M18&gt;9,入力!M18&lt;4)),AND(入力!L18=4,OR(入力!M18="",入力!M18&gt;9,入力!M18&lt;4)),AND(入力!L18=5,OR(入力!M18="",入力!M18&gt;9,入力!M18&lt;4)),AND(入力!L18=6,OR(入力!M18="",入力!M18&gt;9,入力!M18&lt;4)),AND(入力!L18=7,OR(入力!M18="",入力!M18&gt;9,入力!M18&lt;4)),AND(入力!L18=8,OR(入力!M18="",入力!M18&gt;9,入力!M18&lt;4)),AND(入力!L18=9,OR(入力!M18="",入力!M18&gt;9,入力!M18&lt;4))),"■",""),""))</f>
        <v/>
      </c>
      <c r="AU9" s="193" t="str">
        <f>IF(入力!$F$18="","",IF(AND(入力!$F$18&gt;DATE(税率・条件!$C$1+2018-65,計算!AU$3+1,1),入力!$F$18&lt;=DATE(税率・条件!$C$1+2018-40,計算!AU$3+1,1)),IF(OR(AND(入力!L18="",OR(入力!M18="",入力!M18&gt;10,入力!M18&lt;4)),AND(入力!L18=4,OR(入力!M18="",入力!M18&gt;10,入力!M18&lt;4)),AND(入力!L18=5,OR(入力!M18="",入力!M18&gt;10,入力!M18&lt;4)),AND(入力!L18=6,OR(入力!M18="",入力!M18&gt;10,入力!M18&lt;4)),AND(入力!L18=7,OR(入力!M18="",入力!M18&gt;10,入力!M18&lt;4)),AND(入力!L18=8,OR(入力!M18="",入力!M18&gt;10,入力!M18&lt;4)),AND(入力!L18=9,OR(入力!M18="",入力!M18&gt;10,入力!M18&lt;4)),AND(入力!L18=10,OR(入力!M18="",入力!M18&gt;10,入力!M18&lt;4))),"■",""),""))</f>
        <v/>
      </c>
      <c r="AV9" s="193" t="str">
        <f>IF(入力!$F$18="","",IF(AND(入力!$F$18&gt;DATE(税率・条件!$C$1+2018-65,計算!AV$3+1,1),入力!$F$18&lt;=DATE(税率・条件!$C$1+2018-40,計算!AV$3+1,1)),IF(OR(AND(入力!L18="",OR(入力!M18="",入力!M18&gt;11,入力!M18&lt;4)),AND(入力!L18=4,OR(入力!M18="",入力!M18&gt;11,入力!M18&lt;4)),AND(入力!L18=5,OR(入力!M18="",入力!M18&gt;11,入力!M18&lt;4)),AND(入力!L18=6,OR(入力!M18="",入力!M18&gt;11,入力!M18&lt;4)),AND(入力!L18=7,OR(入力!M18="",入力!M18&gt;11,入力!M18&lt;4)),AND(入力!L18=8,OR(入力!M18="",入力!M18&gt;11,入力!M18&lt;4)),AND(入力!L18=9,OR(入力!M18="",入力!M18&gt;11,入力!M18&lt;4)),AND(入力!L18=10,OR(入力!M18="",入力!M18&gt;11,入力!M18&lt;4)),AND(入力!L18=11,OR(入力!M18="",入力!M18&gt;11,入力!M18&lt;4))),"■",""),""))</f>
        <v/>
      </c>
      <c r="AW9" s="193" t="str">
        <f>IF(入力!$F$18="","",IF(AND(入力!$F$18&gt;DATE(税率・条件!$C$1+2018-65,計算!AW$3+1,1),入力!$F$18&lt;=DATE(税率・条件!$C$1+2018-40,計算!AW$3+1,1)),IF(OR(AND(入力!L18="",OR(入力!M18="",入力!M18&gt;12,入力!M18&lt;4)),AND(入力!L18=4,OR(入力!M18="",入力!M18&gt;12,入力!M18&lt;4)),AND(入力!L18=5,OR(入力!M18="",入力!M18&gt;12,入力!M18&lt;4)),AND(入力!L18=6,OR(入力!M18="",入力!M18&gt;12,入力!M18&lt;4)),AND(入力!L18=7,OR(入力!M18="",入力!M18&gt;12,入力!M18&lt;4)),AND(入力!L18=8,OR(入力!M18="",入力!M18&gt;12,入力!M18&lt;4)),AND(入力!L18=9,OR(入力!M18="",入力!M18&gt;12,入力!M18&lt;4)),AND(入力!L18=10,OR(入力!M18="",入力!M18&gt;12,入力!M18&lt;4)),AND(入力!L18=11,OR(入力!M18="",入力!M18&gt;12,入力!M18&lt;4)),AND(入力!L18=12,OR(入力!M18="",入力!M18&gt;12,入力!M18&lt;4))),"■",""),""))</f>
        <v/>
      </c>
      <c r="AX9" s="193" t="str">
        <f>IF(入力!$F$18="","",IF(AND(入力!$F$18&gt;DATE(税率・条件!$C$1+2019-65,計算!AX$3+1,1),入力!$F$18&lt;=DATE(税率・条件!$C$1+2019-40,計算!AX$3+1,1)),IF(OR(AND(入力!L18="",OR(入力!M18="",入力!M18=2,入力!M18=3)),AND(入力!L18=4,OR(入力!M18="",入力!M18=2,入力!M18=3)),AND(入力!L18=5,OR(入力!M18="",入力!M18=2,入力!M18=3)),AND(入力!L18=6,OR(入力!M18="",入力!M18=2,入力!M18=3)),AND(入力!L18=7,OR(入力!M18="",入力!M18=2,入力!M18=3)),AND(入力!L18=8,OR(入力!M18="",入力!M18=2,入力!M18=3)),AND(入力!L18=9,OR(入力!M18="",入力!M18=2,入力!M18=3)),AND(入力!L18=10,OR(入力!M18="",入力!M18=2,入力!M18=3)),AND(入力!L18=11,OR(入力!M18="",入力!M18=2,入力!M18=3)),AND(入力!L18=12,OR(入力!M18="",入力!M18=2,入力!M18=3)),AND(入力!L18=1,OR(入力!M18="",入力!M18=2,入力!M18=3))),"■",""),""))</f>
        <v/>
      </c>
      <c r="AY9" s="193" t="str">
        <f>IF(入力!$F$18="","",IF(AND(入力!$F$18&gt;DATE(税率・条件!$C$1+2019-65,計算!AY$3+1,1),入力!$F$18&lt;=DATE(税率・条件!$C$1+2019-40,計算!AY$3+1,1)),IF(OR(AND(入力!L18="",OR(入力!M18="",入力!M18=3)),AND(入力!L18=4,OR(入力!M18="",入力!M18=3)),AND(入力!L18=5,OR(入力!M18="",入力!M18=3)),AND(入力!L18=6,OR(入力!M18="",入力!M18=3)),AND(入力!L18=7,OR(入力!M18="",入力!M18=3)),AND(入力!L18=8,OR(入力!M18="",入力!M18=3)),AND(入力!L18=9,OR(入力!M18="",入力!M18=3)),AND(入力!L18=10,OR(入力!M18="",入力!M18=3)),AND(入力!L18=11,OR(入力!M18="",入力!M18=3)),AND(入力!L18=12,OR(入力!M18="",入力!M18=3)),AND(入力!L18=1,OR(入力!M18="",入力!M18=3)),AND(入力!L18=2,OR(入力!M18="",入力!M18=3))),"■",""),""))</f>
        <v/>
      </c>
      <c r="AZ9" s="200" t="str">
        <f>IF(入力!$F$18="","",IF(AND(入力!$F$18&gt;DATE(税率・条件!$C$1+2019-65,計算!AZ$3+1,1),入力!$F$18&lt;=DATE(税率・条件!$C$1+2019-40,計算!AZ$3+1,1)),IF(OR(AND(入力!L18="",入力!M18=""),AND(入力!L18=4,入力!M18=""),AND(入力!L18=5,入力!M18=""),AND(入力!L18=6,入力!M18=""),AND(入力!L18=7,入力!M18=""),AND(入力!L18=8,入力!M18=""),AND(入力!L18=9,入力!M18=""),AND(入力!L18=10,入力!M18=""),AND(入力!L18=11,入力!M18=""),AND(入力!L18=12,入力!M18=""),AND(入力!L18=1,入力!M18=""),AND(入力!L18=2,入力!M18=""),AND(入力!L18=3,入力!M18="")),"■",""),""))</f>
        <v/>
      </c>
      <c r="BD9" s="209" t="s">
        <v>177</v>
      </c>
      <c r="BE9" s="216">
        <f>ROUND(ROUNDDOWN((IF(AO$4="",0,$O4)+IF(AO$6="",0,$O6)+IF(AO$8="",0,$O8)+IF(AO$10="",0,$O10)+IF(AO$12="",0,$O12)+IF(AO$14="",0,$O14)+IF(AO$16="",0,$O16)+IF(AO$18="",0,$O18))*税率・条件!$C$9/100,0)/12,2)</f>
        <v>0</v>
      </c>
      <c r="BF9" s="216">
        <f>ROUND(ROUNDDOWN((IF(AP$4="",0,$O4)+IF(AP$6="",0,$O6)+IF(AP$8="",0,$O8)+IF(AP$10="",0,$O10)+IF(AP$12="",0,$O12)+IF(AP$14="",0,$O14)+IF(AP$16="",0,$O16)+IF(AP$18="",0,$O18))*税率・条件!$C$9/100,0)/12,2)</f>
        <v>0</v>
      </c>
      <c r="BG9" s="216">
        <f>ROUND(ROUNDDOWN((IF(AQ$4="",0,$O4)+IF(AQ$6="",0,$O6)+IF(AQ$8="",0,$O8)+IF(AQ$10="",0,$O10)+IF(AQ$12="",0,$O12)+IF(AQ$14="",0,$O14)+IF(AQ$16="",0,$O16)+IF(AQ$18="",0,$O18))*税率・条件!$C$9/100,0)/12,2)</f>
        <v>0</v>
      </c>
      <c r="BH9" s="216">
        <f>ROUND(ROUNDDOWN((IF(AR$4="",0,$O4)+IF(AR$6="",0,$O6)+IF(AR$8="",0,$O8)+IF(AR$10="",0,$O10)+IF(AR$12="",0,$O12)+IF(AR$14="",0,$O14)+IF(AR$16="",0,$O16)+IF(AR$18="",0,$O18))*税率・条件!$C$9/100,0)/12,2)</f>
        <v>0</v>
      </c>
      <c r="BI9" s="216">
        <f>ROUND(ROUNDDOWN((IF(AS$4="",0,$O4)+IF(AS$6="",0,$O6)+IF(AS$8="",0,$O8)+IF(AS$10="",0,$O10)+IF(AS$12="",0,$O12)+IF(AS$14="",0,$O14)+IF(AS$16="",0,$O16)+IF(AS$18="",0,$O18))*税率・条件!$C$9/100,0)/12,2)</f>
        <v>0</v>
      </c>
      <c r="BJ9" s="216">
        <f>ROUND(ROUNDDOWN((IF(AT$4="",0,$O4)+IF(AT$6="",0,$O6)+IF(AT$8="",0,$O8)+IF(AT$10="",0,$O10)+IF(AT$12="",0,$O12)+IF(AT$14="",0,$O14)+IF(AT$16="",0,$O16)+IF(AT$18="",0,$O18))*税率・条件!$C$9/100,0)/12,2)</f>
        <v>0</v>
      </c>
      <c r="BK9" s="216">
        <f>ROUND(ROUNDDOWN((IF(AU$4="",0,$O4)+IF(AU$6="",0,$O6)+IF(AU$8="",0,$O8)+IF(AU$10="",0,$O10)+IF(AU$12="",0,$O12)+IF(AU$14="",0,$O14)+IF(AU$16="",0,$O16)+IF(AU$18="",0,$O18))*税率・条件!$C$9/100,0)/12,2)</f>
        <v>0</v>
      </c>
      <c r="BL9" s="216">
        <f>ROUND(ROUNDDOWN((IF(AV$4="",0,$O4)+IF(AV$6="",0,$O6)+IF(AV$8="",0,$O8)+IF(AV$10="",0,$O10)+IF(AV$12="",0,$O12)+IF(AV$14="",0,$O14)+IF(AV$16="",0,$O16)+IF(AV$18="",0,$O18))*税率・条件!$C$9/100,0)/12,2)</f>
        <v>0</v>
      </c>
      <c r="BM9" s="216">
        <f>ROUND(ROUNDDOWN((IF(AW$4="",0,$O4)+IF(AW$6="",0,$O6)+IF(AW$8="",0,$O8)+IF(AW$10="",0,$O10)+IF(AW$12="",0,$O12)+IF(AW$14="",0,$O14)+IF(AW$16="",0,$O16)+IF(AW$18="",0,$O18))*税率・条件!$C$9/100,0)/12,2)</f>
        <v>0</v>
      </c>
      <c r="BN9" s="216">
        <f>ROUND(ROUNDDOWN((IF(AX$4="",0,$O4)+IF(AX$6="",0,$O6)+IF(AX$8="",0,$O8)+IF(AX$10="",0,$O10)+IF(AX$12="",0,$O12)+IF(AX$14="",0,$O14)+IF(AX$16="",0,$O16)+IF(AX$18="",0,$O18))*税率・条件!$C$9/100,0)/12,2)</f>
        <v>0</v>
      </c>
      <c r="BO9" s="216">
        <f>ROUND(ROUNDDOWN((IF(AY$4="",0,$O4)+IF(AY$6="",0,$O6)+IF(AY$8="",0,$O8)+IF(AY$10="",0,$O10)+IF(AY$12="",0,$O12)+IF(AY$14="",0,$O14)+IF(AY$16="",0,$O16)+IF(AY$18="",0,$O18))*税率・条件!$C$9/100,0)/12,2)</f>
        <v>0</v>
      </c>
      <c r="BP9" s="216">
        <f>ROUND(ROUNDDOWN((IF(AZ$4="",0,$O4)+IF(AZ$6="",0,$O6)+IF(AZ$8="",0,$O8)+IF(AZ$10="",0,$O10)+IF(AZ$12="",0,$O12)+IF(AZ$14="",0,$O14)+IF(AZ$16="",0,$O16)+IF(AZ$18="",0,$O18))*税率・条件!$C$9/100,0)/12,2)</f>
        <v>0</v>
      </c>
      <c r="BQ9" s="216">
        <f t="shared" si="0"/>
        <v>0</v>
      </c>
      <c r="BR9" s="228">
        <f t="shared" si="1"/>
        <v>0</v>
      </c>
    </row>
    <row r="10" spans="1:70" ht="18.95" customHeight="1" x14ac:dyDescent="0.15">
      <c r="A10" s="381" t="str">
        <f>入力!E19</f>
        <v>４</v>
      </c>
      <c r="B10" s="391" t="str">
        <f>IF(入力!F19="","",IF(入力!F19&lt;=DATE(税率・条件!C1+1953,1,1),"65歳以上",IF(入力!F19&gt;DATE(税率・条件!C1+2012,4,1),"未就学",IF(入力!F19&gt;DATE(税率・条件!C1+2000,4,1),"18歳未満","一般"))))</f>
        <v/>
      </c>
      <c r="C10" s="384" t="str">
        <f>IF(D10="","",IF(入力!K19="該 当","該当","非該当"))</f>
        <v/>
      </c>
      <c r="D10" s="306" t="str">
        <f>IF(入力!G19="","",ROUNDDOWN(VLOOKUP(入力!G19,$B$24:$J$30,5,1)*IF(入力!K19="該 当",0.3,1),0))</f>
        <v/>
      </c>
      <c r="E10" s="306" t="str">
        <f>IF(D10="","",IF(OR(D10="",K10=""),0,IF(D10+K10&lt;100000,0,IF(D10&lt;100000,D10,100000)+IF(K10&lt;100000,K10,100000)-100000)))</f>
        <v/>
      </c>
      <c r="F10" s="306" t="str">
        <f>IF(D10="","",D10-E10)</f>
        <v/>
      </c>
      <c r="G10" s="386" t="str">
        <f>IF(D10="","",IF(OR(D10="",L10=""),0,IF(D10+L10&lt;100000,0,IF(D10&lt;100000,D10,100000)+IF(L10&lt;100000,L10,100000)-100000)))</f>
        <v/>
      </c>
      <c r="H10" s="307" t="str">
        <f>IF(D10="","",D10-G10)</f>
        <v/>
      </c>
      <c r="I10" s="311" t="str">
        <f>IF(入力!H19="","",IF(B10="65歳以上",VLOOKUP(入力!H19,$B$43:$D$47,2,1),VLOOKUP(入力!H19,$B$35:$D$39,2,1)))</f>
        <v/>
      </c>
      <c r="J10" s="306" t="str">
        <f>IF(I10="","",IF(B10="65歳以上",VLOOKUP(入力!H19,$B$43:$D$47,3,1),VLOOKUP(入力!H19,$B$35:$D$39,3,1)))</f>
        <v/>
      </c>
      <c r="K10" s="306" t="str">
        <f>IF(I10="","",IF(入力!H19*計算!I10/100-計算!J10&lt;0,0,ROUNDDOWN(入力!H19*計算!I10/100-計算!J10,0)))</f>
        <v/>
      </c>
      <c r="L10" s="307" t="str">
        <f>IF(K10="","",IF(B10="65歳以上",IF(K10&lt;税率・条件!$G$9,0,K10-税率・条件!$G$9),K10))</f>
        <v/>
      </c>
      <c r="M10" s="309" t="str">
        <f>IF(入力!I19="","",入力!I19)</f>
        <v/>
      </c>
      <c r="N10" s="311" t="str">
        <f>IF(入力!F19="","",SUM(F10,K10,M10))</f>
        <v/>
      </c>
      <c r="O10" s="306" t="str">
        <f>IF(入力!P19&lt;&gt;"",IF(計算!N10-430000&gt;0,計算!N10-430000,0),"")</f>
        <v/>
      </c>
      <c r="P10" s="312" t="str">
        <f>IF(入力!Q19&lt;&gt;"",IF(計算!N10-430000&gt;0,計算!N10-430000,0),"")</f>
        <v/>
      </c>
      <c r="Q10" s="314" t="str">
        <f>IF(N10="","",IF(BB10&lt;&gt;BB20,"",SUM(H10,L10,M10)))</f>
        <v/>
      </c>
      <c r="R10" s="316" t="str">
        <f>IF(AND(D10="",K10=""),"",IF(BB10&lt;&gt;BB20,"",IF(OR(入力!G19&gt;税率・条件!K5,AND(B10="65歳以上",入力!H19&gt;税率・条件!K7),AND(B10&lt;&gt;"65歳以上",入力!H19&gt;税率・条件!K6)),1,"")))</f>
        <v/>
      </c>
      <c r="S10" s="318" t="str">
        <f>IF(N10="","",IF(AND(入力!$H$25&lt;&gt;"",入力!$C$19="全員申告済み",$BB$10=$BB$20),"該当",""))</f>
        <v/>
      </c>
      <c r="T10" s="388" t="str">
        <f>IF($O10="","",ROUNDDOWN($O10*税率・条件!$C$4/100,0))</f>
        <v/>
      </c>
      <c r="U10" s="302" t="str">
        <f>IF(入力!$P19="","",ROUNDDOWN(入力!$J19*税率・条件!$C$5/100,0))</f>
        <v/>
      </c>
      <c r="V10" s="302" t="str">
        <f>IF(入力!$P19="","",ROUNDDOWN(税率・条件!$C$6*(100%-IF(B10="未就学",税率・条件!$H$11,0%))*(100%-$M$34),0))</f>
        <v/>
      </c>
      <c r="W10" s="393"/>
      <c r="X10" s="304" t="str">
        <f>IF(SUM(T10:W10)&gt;0,SUM(T10:W10),"")</f>
        <v/>
      </c>
      <c r="Y10" s="300" t="str">
        <f>IF($O10="","",ROUNDDOWN($O10*税率・条件!$C$9/100,0))</f>
        <v/>
      </c>
      <c r="Z10" s="302" t="str">
        <f>IF(入力!$P19="","",ROUNDDOWN(入力!$J19*税率・条件!$C$10/100,0))</f>
        <v/>
      </c>
      <c r="AA10" s="302" t="str">
        <f>IF(入力!$P19="","",ROUNDDOWN(税率・条件!$C$11*(100%-IF(B10="未就学",税率・条件!$H$11,0%))*(100%-$M$34),0))</f>
        <v/>
      </c>
      <c r="AB10" s="393"/>
      <c r="AC10" s="304" t="str">
        <f>IF(SUM(Y10:AB10)&gt;0,SUM(Y10:AB10),"")</f>
        <v/>
      </c>
      <c r="AD10" s="300" t="str">
        <f>IF($P10="","",ROUNDDOWN($P10*税率・条件!$C$14/100,0))</f>
        <v/>
      </c>
      <c r="AE10" s="302" t="str">
        <f>IF(入力!$Q19="","",ROUNDDOWN(入力!$J19*税率・条件!$C$15/100,0))</f>
        <v/>
      </c>
      <c r="AF10" s="302" t="str">
        <f>IF(入力!$Q19="","",ROUNDDOWN(税率・条件!$C$16*(100%-$M$34),0))</f>
        <v/>
      </c>
      <c r="AG10" s="393"/>
      <c r="AH10" s="304" t="str">
        <f>IF(SUM(AD10:AG10)&gt;0,SUM(AD10:AG10),"")</f>
        <v/>
      </c>
      <c r="AI10" s="300" t="str">
        <f>IF($O10="","",ROUNDDOWN($O10*税率・条件!$C$19/100,0))</f>
        <v/>
      </c>
      <c r="AJ10" s="302" t="str">
        <f>IF(入力!$P19="","",ROUNDDOWN(入力!$J19*税率・条件!$C$20/100,0))</f>
        <v/>
      </c>
      <c r="AK10" s="302" t="str">
        <f>IF(入力!$P19="","",ROUNDDOWN(IF(OR(B10="18歳未満",B10="未就学"),0,税率・条件!$C$21)*(100%-$M$34),0))</f>
        <v/>
      </c>
      <c r="AL10" s="393"/>
      <c r="AM10" s="304" t="str">
        <f>IF(SUM(AI10:AL10)&gt;0,SUM(AI10:AL10),"")</f>
        <v/>
      </c>
      <c r="AN10" s="188" t="str">
        <f>IF(入力!$F$19="","",COUNTIF(AO10:AZ10,"●")+COUNTIF(AO10:AZ10,"▲"))</f>
        <v/>
      </c>
      <c r="AO10" s="192" t="str">
        <f>IF(入力!$F$19="","",IF(入力!$F$19&gt;=DATE(税率・条件!$C$1+2018,計算!AO$3+1,1),"",IF(入力!$F$19&gt;=DATE(税率・条件!$C$1+2018-75,計算!AO$3+1,1),IF(OR(AND(入力!L19="",OR(入力!M19="",入力!M19&gt;4,入力!M19&lt;4)),AND(入力!L19=4,OR(入力!M19="",入力!M19&gt;4,入力!M19&lt;4))),IF(OR(B10="未就学",B10="18歳未満"),"▲","●"),""),"")))</f>
        <v/>
      </c>
      <c r="AP10" s="192" t="str">
        <f>IF(入力!$F$19="","",IF(入力!$F$19&gt;=DATE(税率・条件!$C$1+2018,計算!AP$3+1,1),"",IF(入力!$F$19&gt;=DATE(税率・条件!$C$1+2018-75,計算!AP$3+1,1),IF(OR(AND(入力!L19="",OR(入力!M19="",入力!M19&gt;5,入力!M19&lt;4)),AND(入力!L19=4,OR(入力!M19="",入力!M19&gt;5,入力!M19&lt;4)),AND(入力!L19=5,OR(入力!M19="",入力!M19&gt;5,入力!M19&lt;4))),IF(OR(B10="未就学",B10="18歳未満"),"▲","●"),""),"")))</f>
        <v/>
      </c>
      <c r="AQ10" s="192" t="str">
        <f>IF(入力!$F$19="","",IF(入力!$F$19&gt;=DATE(税率・条件!$C$1+2018,計算!AQ$3+1,1),"",IF(入力!$F$19&gt;=DATE(税率・条件!$C$1+2018-75,計算!AQ$3+1,1),IF(OR(AND(入力!L19="",OR(入力!M19="",入力!M19&gt;6,入力!M19&lt;4)),AND(入力!L19=4,OR(入力!M19="",入力!M19&gt;6,入力!M19&lt;4)),AND(入力!L19=5,OR(入力!M19="",入力!M19&gt;6,入力!M19&lt;4)),AND(入力!L19=6,OR(入力!M19="",入力!M19&gt;6,入力!M19&lt;4))),IF(OR(B10="未就学",B10="18歳未満"),"▲","●"),""),"")))</f>
        <v/>
      </c>
      <c r="AR10" s="192" t="str">
        <f>IF(入力!$F$19="","",IF(入力!$F$19&gt;=DATE(税率・条件!$C$1+2018,計算!AR$3+1,1),"",IF(入力!$F$19&gt;=DATE(税率・条件!$C$1+2018-75,計算!AR$3+1,1),IF(OR(AND(入力!L19="",OR(入力!M19="",入力!M19&gt;7,入力!M19&lt;4)),AND(入力!L19=4,OR(入力!M19="",入力!M19&gt;7,入力!M19&lt;4)),AND(入力!L19=5,OR(入力!M19="",入力!M19&gt;7,入力!M19&lt;4)),AND(入力!L19=6,OR(入力!M19="",入力!M19&gt;7,入力!M19&lt;4)),AND(入力!L19=7,OR(入力!M19="",入力!M19&gt;7,入力!M19&lt;4))),IF(OR(B10="未就学",B10="18歳未満"),"▲","●"),""),"")))</f>
        <v/>
      </c>
      <c r="AS10" s="192" t="str">
        <f>IF(入力!$F$19="","",IF(入力!$F$19&gt;=DATE(税率・条件!$C$1+2018,計算!AS$3+1,1),"",IF(入力!$F$19&gt;=DATE(税率・条件!$C$1+2018-75,計算!AS$3+1,1),IF(OR(AND(入力!L19="",OR(入力!M19="",入力!M19&gt;8,入力!M19&lt;4)),AND(入力!L19=4,OR(入力!M19="",入力!M19&gt;8,入力!M19&lt;4)),AND(入力!L19=5,OR(入力!M19="",入力!M19&gt;8,入力!M19&lt;4)),AND(入力!L19=6,OR(入力!M19="",入力!M19&gt;8,入力!M19&lt;4)),AND(入力!L19=7,OR(入力!M19="",入力!M19&gt;8,入力!M19&lt;4)),AND(入力!L19=8,OR(入力!M19="",入力!M19&gt;8,入力!M19&lt;4))),IF(OR(B10="未就学",B10="18歳未満"),"▲","●"),""),"")))</f>
        <v/>
      </c>
      <c r="AT10" s="192" t="str">
        <f>IF(入力!$F$19="","",IF(入力!$F$19&gt;=DATE(税率・条件!$C$1+2018,計算!AT$3+1,1),"",IF(入力!$F$19&gt;=DATE(税率・条件!$C$1+2018-75,計算!AT$3+1,1),IF(OR(AND(入力!L19="",OR(入力!M19="",入力!M19&gt;9,入力!M19&lt;4)),AND(入力!L19=4,OR(入力!M19="",入力!M19&gt;9,入力!M19&lt;4)),AND(入力!L19=5,OR(入力!M19="",入力!M19&gt;9,入力!M19&lt;4)),AND(入力!L19=6,OR(入力!M19="",入力!M19&gt;9,入力!M19&lt;4)),AND(入力!L19=7,OR(入力!M19="",入力!M19&gt;9,入力!M19&lt;4)),AND(入力!L19=8,OR(入力!M19="",入力!M19&gt;9,入力!M19&lt;4)),AND(入力!L19=9,OR(入力!M19="",入力!M19&gt;9,入力!M19&lt;4))),IF(OR(B10="未就学",B10="18歳未満"),"▲","●"),""),"")))</f>
        <v/>
      </c>
      <c r="AU10" s="192" t="str">
        <f>IF(入力!$F$19="","",IF(入力!$F$19&gt;=DATE(税率・条件!$C$1+2018,計算!AU$3+1,1),"",IF(入力!$F$19&gt;=DATE(税率・条件!$C$1+2018-75,計算!AU$3+1,1),IF(OR(AND(入力!L19="",OR(入力!M19="",入力!M19&gt;10,入力!M19&lt;4)),AND(入力!L19=4,OR(入力!M19="",入力!M19&gt;10,入力!M19&lt;4)),AND(入力!L19=5,OR(入力!M19="",入力!M19&gt;10,入力!M19&lt;4)),AND(入力!L19=6,OR(入力!M19="",入力!M19&gt;10,入力!M19&lt;4)),AND(入力!L19=7,OR(入力!M19="",入力!M19&gt;10,入力!M19&lt;4)),AND(入力!L19=8,OR(入力!M19="",入力!M19&gt;10,入力!M19&lt;4)),AND(入力!L19=9,OR(入力!M19="",入力!M19&gt;10,入力!M19&lt;4)),AND(入力!L19=10,OR(入力!M19="",入力!M19&gt;10,入力!M19&lt;4))),IF(OR(B10="未就学",B10="18歳未満"),"▲","●"),""),"")))</f>
        <v/>
      </c>
      <c r="AV10" s="192" t="str">
        <f>IF(入力!$F$19="","",IF(入力!$F$19&gt;=DATE(税率・条件!$C$1+2018,計算!AV$3+1,1),"",IF(入力!$F$19&gt;=DATE(税率・条件!$C$1+2018-75,計算!AV$3+1,1),IF(OR(AND(入力!L19="",OR(入力!M19="",入力!M19&gt;11,入力!M19&lt;4)),AND(入力!L19=4,OR(入力!M19="",入力!M19&gt;11,入力!M19&lt;4)),AND(入力!L19=5,OR(入力!M19="",入力!M19&gt;11,入力!M19&lt;4)),AND(入力!L19=6,OR(入力!M19="",入力!M19&gt;11,入力!M19&lt;4)),AND(入力!L19=7,OR(入力!M19="",入力!M19&gt;11,入力!M19&lt;4)),AND(入力!L19=8,OR(入力!M19="",入力!M19&gt;11,入力!M19&lt;4)),AND(入力!L19=9,OR(入力!M19="",入力!M19&gt;11,入力!M19&lt;4)),AND(入力!L19=10,OR(入力!M19="",入力!M19&gt;11,入力!M19&lt;4)),AND(入力!L19=11,OR(入力!M19="",入力!M19&gt;11,入力!M19&lt;4))),IF(OR(B10="未就学",B10="18歳未満"),"▲","●"),""),"")))</f>
        <v/>
      </c>
      <c r="AW10" s="192" t="str">
        <f>IF(入力!$F$19="","",IF(入力!$F$19&gt;=DATE(税率・条件!$C$1+2018,計算!AW$3+1,1),"",IF(入力!$F$19&gt;=DATE(税率・条件!$C$1+2018-75,計算!AW$3+1,1),IF(OR(AND(入力!L19="",OR(入力!M19="",入力!M19&gt;12,入力!M19&lt;4)),AND(入力!L19=4,OR(入力!M19="",入力!M19&gt;12,入力!M19&lt;4)),AND(入力!L19=5,OR(入力!M19="",入力!M19&gt;12,入力!M19&lt;4)),AND(入力!L19=6,OR(入力!M19="",入力!M19&gt;12,入力!M19&lt;4)),AND(入力!L19=7,OR(入力!M19="",入力!M19&gt;12,入力!M19&lt;4)),AND(入力!L19=8,OR(入力!M19="",入力!M19&gt;12,入力!M19&lt;4)),AND(入力!L19=9,OR(入力!M19="",入力!M19&gt;12,入力!M19&lt;4)),AND(入力!L19=10,OR(入力!M19="",入力!M19&gt;12,入力!M19&lt;4)),AND(入力!L19=11,OR(入力!M19="",入力!M19&gt;12,入力!M19&lt;4)),AND(入力!L19=12,OR(入力!M19="",入力!M19&gt;12,入力!M19&lt;4))),IF(OR(B10="未就学",B10="18歳未満"),"▲","●"),""),"")))</f>
        <v/>
      </c>
      <c r="AX10" s="192" t="str">
        <f>IF(入力!$F$19="","",IF(入力!$F$19&gt;=DATE(税率・条件!$C$1+2019,計算!AX$3+1,1),"",IF(入力!$F$19&gt;=DATE(税率・条件!$C$1+2019-75,計算!AX$3+1,1),IF(OR(AND(入力!L19="",OR(入力!M19="",入力!M19=2,入力!M19=3)),AND(入力!L19=4,OR(入力!M19="",入力!M19=2,入力!M19=3)),AND(入力!L19=5,OR(入力!M19="",入力!M19=2,入力!M19=3)),AND(入力!L19=6,OR(入力!M19="",入力!M19=2,入力!M19=3)),AND(入力!L19=7,OR(入力!M19="",入力!M19=2,入力!M19=3)),AND(入力!L19=8,OR(入力!M19="",入力!M19=2,入力!M19=3)),AND(入力!L19=9,OR(入力!M19="",入力!M19=2,入力!M19=3)),AND(入力!L19=10,OR(入力!M19="",入力!M19=2,入力!M19=3)),AND(入力!L19=11,OR(入力!M19="",入力!M19=2,入力!M19=3)),AND(入力!L19=12,OR(入力!M19="",入力!M19=2,入力!M19=3)),AND(入力!L19=1,OR(入力!M19="",入力!M19=2,入力!M19=3))),IF(OR(B10="未就学",B10="18歳未満"),"▲","●"),""),"")))</f>
        <v/>
      </c>
      <c r="AY10" s="192" t="str">
        <f>IF(入力!$F$19="","",IF(入力!$F$19&gt;=DATE(税率・条件!$C$1+2019,計算!AY$3+1,1),"",IF(入力!$F$19&gt;=DATE(税率・条件!$C$1+2019-75,計算!AY$3+1,1),IF(OR(AND(入力!L19="",OR(入力!M19="",入力!M19=3)),AND(入力!L19=4,OR(入力!M19="",入力!M19=3)),AND(入力!L19=5,OR(入力!M19="",入力!M19=3)),AND(入力!L19=6,OR(入力!M19="",入力!M19=3)),AND(入力!L19=7,OR(入力!M19="",入力!M19=3)),AND(入力!L19=8,OR(入力!M19="",入力!M19=3)),AND(入力!L19=9,OR(入力!M19="",入力!M19=3)),AND(入力!L19=10,OR(入力!M19="",入力!M19=3)),AND(入力!L19=11,OR(入力!M19="",入力!M19=3)),AND(入力!L19=12,OR(入力!M19="",入力!M19=3)),AND(入力!L19=1,OR(入力!M19="",入力!M19=3)),AND(入力!L19=2,OR(入力!M19="",入力!M19=3))),IF(OR(B10="未就学",B10="18歳未満"),"▲","●"),""),"")))</f>
        <v/>
      </c>
      <c r="AZ10" s="199" t="str">
        <f>IF(入力!$F$19="","",IF(入力!$F$19&gt;=DATE(税率・条件!$C$1+2019,計算!AZ$3+1,1),"",IF(入力!$F$19&gt;=DATE(税率・条件!$C$1+2019-75,計算!AZ$3+1,1),IF(OR(AND(入力!L19="",入力!M19=""),AND(入力!L19=4,入力!M19=""),AND(入力!L19=5,入力!M19=""),AND(入力!L19=6,入力!M19=""),AND(入力!L19=7,入力!M19=""),AND(入力!L19=8,入力!M19=""),AND(入力!L19=9,入力!M19=""),AND(入力!L19=10,入力!M19=""),AND(入力!L19=11,入力!M19=""),AND(入力!L19=12,入力!M19=""),AND(入力!L19=1,入力!M19=""),AND(入力!L19=2,入力!M19=""),AND(入力!L19=3,入力!M19="")),IF(OR(B10="未就学",B10="18歳未満"),"▲","●"),""),"")))</f>
        <v/>
      </c>
      <c r="BB10" s="204" t="str">
        <f>IF(AND(AO$20=1,AO10&lt;&gt;""),4,IF(AND(AP$20=1,AP10&lt;&gt;""),5,IF(AND(AQ$20=1,AQ10&lt;&gt;""),6,IF(AND(AR$20=1,AR10&lt;&gt;""),7,IF(AND(AS$20=1,AS10&lt;&gt;""),8,IF(AND(AT$20=1,AT10&lt;&gt;""),9,IF(AND(AU$20=1,AU10&lt;&gt;""),10,IF(AND(AV$20=1,AV10&lt;&gt;""),11,IF(AND(AW$20=1,AW10&lt;&gt;""),12,IF(AND(AX$20=1,AX10&lt;&gt;""),1,IF(AND(AY$20=1,AY10&lt;&gt;""),2,IF(AND(AZ$20=1,AZ10&lt;&gt;""),3,""))))))))))))</f>
        <v/>
      </c>
      <c r="BD10" s="210" t="s">
        <v>178</v>
      </c>
      <c r="BE10" s="219">
        <f>ROUND(ROUNDDOWN((IF(AO$4="",0,入力!$J$16)+IF(AO$6="",0,入力!$J$17)+IF(AO$8="",0,入力!$J$18)+IF(AO$10="",0,入力!$J$19)+IF(AO$12="",0,入力!$J$20)+IF(AO$14="",0,入力!$J$21)+IF(AO$16="",0,入力!$J$22)+IF(AO$18="",0,入力!$J$23))*税率・条件!$C$10/100,0)/12,2)</f>
        <v>0</v>
      </c>
      <c r="BF10" s="219">
        <f>ROUND(ROUNDDOWN((IF(AP$4="",0,入力!$J$16)+IF(AP$6="",0,入力!$J$17)+IF(AP$8="",0,入力!$J$18)+IF(AP$10="",0,入力!$J$19)+IF(AP$12="",0,入力!$J$20)+IF(AP$14="",0,入力!$J$21)+IF(AP$16="",0,入力!$J$22)+IF(AP$18="",0,入力!$J$23))*税率・条件!$C$10/100,0)/12,2)</f>
        <v>0</v>
      </c>
      <c r="BG10" s="219">
        <f>ROUND(ROUNDDOWN((IF(AQ$4="",0,入力!$J$16)+IF(AQ$6="",0,入力!$J$17)+IF(AQ$8="",0,入力!$J$18)+IF(AQ$10="",0,入力!$J$19)+IF(AQ$12="",0,入力!$J$20)+IF(AQ$14="",0,入力!$J$21)+IF(AQ$16="",0,入力!$J$22)+IF(AQ$18="",0,入力!$J$23))*税率・条件!$C$10/100,0)/12,2)</f>
        <v>0</v>
      </c>
      <c r="BH10" s="219">
        <f>ROUND(ROUNDDOWN((IF(AR$4="",0,入力!$J$16)+IF(AR$6="",0,入力!$J$17)+IF(AR$8="",0,入力!$J$18)+IF(AR$10="",0,入力!$J$19)+IF(AR$12="",0,入力!$J$20)+IF(AR$14="",0,入力!$J$21)+IF(AR$16="",0,入力!$J$22)+IF(AR$18="",0,入力!$J$23))*税率・条件!$C$10/100,0)/12,2)</f>
        <v>0</v>
      </c>
      <c r="BI10" s="219">
        <f>ROUND(ROUNDDOWN((IF(AS$4="",0,入力!$J$16)+IF(AS$6="",0,入力!$J$17)+IF(AS$8="",0,入力!$J$18)+IF(AS$10="",0,入力!$J$19)+IF(AS$12="",0,入力!$J$20)+IF(AS$14="",0,入力!$J$21)+IF(AS$16="",0,入力!$J$22)+IF(AS$18="",0,入力!$J$23))*税率・条件!$C$10/100,0)/12,2)</f>
        <v>0</v>
      </c>
      <c r="BJ10" s="219">
        <f>ROUND(ROUNDDOWN((IF(AT$4="",0,入力!$J$16)+IF(AT$6="",0,入力!$J$17)+IF(AT$8="",0,入力!$J$18)+IF(AT$10="",0,入力!$J$19)+IF(AT$12="",0,入力!$J$20)+IF(AT$14="",0,入力!$J$21)+IF(AT$16="",0,入力!$J$22)+IF(AT$18="",0,入力!$J$23))*税率・条件!$C$10/100,0)/12,2)</f>
        <v>0</v>
      </c>
      <c r="BK10" s="219">
        <f>ROUND(ROUNDDOWN((IF(AU$4="",0,入力!$J$16)+IF(AU$6="",0,入力!$J$17)+IF(AU$8="",0,入力!$J$18)+IF(AU$10="",0,入力!$J$19)+IF(AU$12="",0,入力!$J$20)+IF(AU$14="",0,入力!$J$21)+IF(AU$16="",0,入力!$J$22)+IF(AU$18="",0,入力!$J$23))*税率・条件!$C$10/100,0)/12,2)</f>
        <v>0</v>
      </c>
      <c r="BL10" s="219">
        <f>ROUND(ROUNDDOWN((IF(AV$4="",0,入力!$J$16)+IF(AV$6="",0,入力!$J$17)+IF(AV$8="",0,入力!$J$18)+IF(AV$10="",0,入力!$J$19)+IF(AV$12="",0,入力!$J$20)+IF(AV$14="",0,入力!$J$21)+IF(AV$16="",0,入力!$J$22)+IF(AV$18="",0,入力!$J$23))*税率・条件!$C$10/100,0)/12,2)</f>
        <v>0</v>
      </c>
      <c r="BM10" s="219">
        <f>ROUND(ROUNDDOWN((IF(AW$4="",0,入力!$J$16)+IF(AW$6="",0,入力!$J$17)+IF(AW$8="",0,入力!$J$18)+IF(AW$10="",0,入力!$J$19)+IF(AW$12="",0,入力!$J$20)+IF(AW$14="",0,入力!$J$21)+IF(AW$16="",0,入力!$J$22)+IF(AW$18="",0,入力!$J$23))*税率・条件!$C$10/100,0)/12,2)</f>
        <v>0</v>
      </c>
      <c r="BN10" s="219">
        <f>ROUND(ROUNDDOWN((IF(AX$4="",0,入力!$J$16)+IF(AX$6="",0,入力!$J$17)+IF(AX$8="",0,入力!$J$18)+IF(AX$10="",0,入力!$J$19)+IF(AX$12="",0,入力!$J$20)+IF(AX$14="",0,入力!$J$21)+IF(AX$16="",0,入力!$J$22)+IF(AX$18="",0,入力!$J$23))*税率・条件!$C$10/100,0)/12,2)</f>
        <v>0</v>
      </c>
      <c r="BO10" s="219">
        <f>ROUND(ROUNDDOWN((IF(AY$4="",0,入力!$J$16)+IF(AY$6="",0,入力!$J$17)+IF(AY$8="",0,入力!$J$18)+IF(AY$10="",0,入力!$J$19)+IF(AY$12="",0,入力!$J$20)+IF(AY$14="",0,入力!$J$21)+IF(AY$16="",0,入力!$J$22)+IF(AY$18="",0,入力!$J$23))*税率・条件!$C$10/100,0)/12,2)</f>
        <v>0</v>
      </c>
      <c r="BP10" s="219">
        <f>ROUND(ROUNDDOWN((IF(AZ$4="",0,入力!$J$16)+IF(AZ$6="",0,入力!$J$17)+IF(AZ$8="",0,入力!$J$18)+IF(AZ$10="",0,入力!$J$19)+IF(AZ$12="",0,入力!$J$20)+IF(AZ$14="",0,入力!$J$21)+IF(AZ$16="",0,入力!$J$22)+IF(AZ$18="",0,入力!$J$23))*税率・条件!$C$10/100,0)/12,2)</f>
        <v>0</v>
      </c>
      <c r="BQ10" s="221">
        <f t="shared" si="0"/>
        <v>0</v>
      </c>
      <c r="BR10" s="229">
        <f t="shared" si="1"/>
        <v>0</v>
      </c>
    </row>
    <row r="11" spans="1:70" ht="18.95" customHeight="1" x14ac:dyDescent="0.15">
      <c r="A11" s="390"/>
      <c r="B11" s="392"/>
      <c r="C11" s="385"/>
      <c r="D11" s="303"/>
      <c r="E11" s="303"/>
      <c r="F11" s="303"/>
      <c r="G11" s="387"/>
      <c r="H11" s="308"/>
      <c r="I11" s="301"/>
      <c r="J11" s="303"/>
      <c r="K11" s="303"/>
      <c r="L11" s="308"/>
      <c r="M11" s="310"/>
      <c r="N11" s="301"/>
      <c r="O11" s="303"/>
      <c r="P11" s="313"/>
      <c r="Q11" s="315"/>
      <c r="R11" s="317"/>
      <c r="S11" s="319"/>
      <c r="T11" s="389"/>
      <c r="U11" s="303"/>
      <c r="V11" s="303"/>
      <c r="W11" s="394"/>
      <c r="X11" s="305"/>
      <c r="Y11" s="301"/>
      <c r="Z11" s="303"/>
      <c r="AA11" s="303"/>
      <c r="AB11" s="394"/>
      <c r="AC11" s="305"/>
      <c r="AD11" s="301"/>
      <c r="AE11" s="303"/>
      <c r="AF11" s="303"/>
      <c r="AG11" s="394"/>
      <c r="AH11" s="305"/>
      <c r="AI11" s="301"/>
      <c r="AJ11" s="303"/>
      <c r="AK11" s="303"/>
      <c r="AL11" s="394"/>
      <c r="AM11" s="305"/>
      <c r="AN11" s="189" t="str">
        <f>IF(入力!$F$19="","",COUNTIF(AO11:AZ11,"■"))</f>
        <v/>
      </c>
      <c r="AO11" s="193" t="str">
        <f>IF(入力!$F$19="","",IF(AND(入力!$F$19&gt;DATE(税率・条件!$C$1+2018-65,計算!AO$3+1,1),入力!$F$19&lt;=DATE(税率・条件!$C$1+2018-40,計算!AO$3+1,1)),IF(OR(AND(入力!L19="",OR(入力!M19="",入力!M19&gt;4,入力!M19&lt;4)),AND(入力!L19=4,OR(入力!M19="",入力!M19&gt;4,入力!M19&lt;4))),"■",""),""))</f>
        <v/>
      </c>
      <c r="AP11" s="193" t="str">
        <f>IF(入力!$F$19="","",IF(AND(入力!$F$19&gt;DATE(税率・条件!$C$1+2018-65,計算!AP$3+1,1),入力!$F$19&lt;=DATE(税率・条件!$C$1+2018-40,計算!AP$3+1,1)),IF(OR(AND(入力!L19="",OR(入力!M19="",入力!M19&gt;5,入力!M19&lt;4)),AND(入力!L19=4,OR(入力!M19="",入力!M19&gt;5,入力!M19&lt;4)),AND(入力!L19=5,OR(入力!M19="",入力!M19&gt;5,入力!M19&lt;4))),"■",""),""))</f>
        <v/>
      </c>
      <c r="AQ11" s="193" t="str">
        <f>IF(入力!$F$19="","",IF(AND(入力!$F$19&gt;DATE(税率・条件!$C$1+2018-65,計算!AQ$3+1,1),入力!$F$19&lt;=DATE(税率・条件!$C$1+2018-40,計算!AQ$3+1,1)),IF(OR(AND(入力!L19="",OR(入力!M19="",入力!M19&gt;6,入力!M19&lt;4)),AND(入力!L19=4,OR(入力!M19="",入力!M19&gt;6,入力!M19&lt;4)),AND(入力!L19=5,OR(入力!M19="",入力!M19&gt;6,入力!M19&lt;4)),AND(入力!L19=6,OR(入力!M19="",入力!M19&gt;6,入力!M19&lt;4))),"■",""),""))</f>
        <v/>
      </c>
      <c r="AR11" s="193" t="str">
        <f>IF(入力!$F$19="","",IF(AND(入力!$F$19&gt;DATE(税率・条件!$C$1+2018-65,計算!AR$3+1,1),入力!$F$19&lt;=DATE(税率・条件!$C$1+2018-40,計算!AR$3+1,1)),IF(OR(AND(入力!L19="",OR(入力!M19="",入力!M19&gt;7,入力!M19&lt;4)),AND(入力!L19=4,OR(入力!M19="",入力!M19&gt;7,入力!M19&lt;4)),AND(入力!L19=5,OR(入力!M19="",入力!M19&gt;7,入力!M19&lt;4)),AND(入力!L19=6,OR(入力!M19="",入力!M19&gt;7,入力!M19&lt;4)),AND(入力!L19=7,OR(入力!M19="",入力!M19&gt;7,入力!M19&lt;4))),"■",""),""))</f>
        <v/>
      </c>
      <c r="AS11" s="193" t="str">
        <f>IF(入力!$F$19="","",IF(AND(入力!$F$19&gt;DATE(税率・条件!$C$1+2018-65,計算!AS$3+1,1),入力!$F$19&lt;=DATE(税率・条件!$C$1+2018-40,計算!AS$3+1,1)),IF(OR(AND(入力!L19="",OR(入力!M19="",入力!M19&gt;8,入力!M19&lt;4)),AND(入力!L19=4,OR(入力!M19="",入力!M19&gt;8,入力!M19&lt;4)),AND(入力!L19=5,OR(入力!M19="",入力!M19&gt;8,入力!M19&lt;4)),AND(入力!L19=6,OR(入力!M19="",入力!M19&gt;8,入力!M19&lt;4)),AND(入力!L19=7,OR(入力!M19="",入力!M19&gt;8,入力!M19&lt;4)),AND(入力!L19=8,OR(入力!M19="",入力!M19&gt;8,入力!M19&lt;4))),"■",""),""))</f>
        <v/>
      </c>
      <c r="AT11" s="193" t="str">
        <f>IF(入力!$F$19="","",IF(AND(入力!$F$19&gt;DATE(税率・条件!$C$1+2018-65,計算!AT$3+1,1),入力!$F$19&lt;=DATE(税率・条件!$C$1+2018-40,計算!AT$3+1,1)),IF(OR(AND(入力!L19="",OR(入力!M19="",入力!M19&gt;9,入力!M19&lt;4)),AND(入力!L19=4,OR(入力!M19="",入力!M19&gt;9,入力!M19&lt;4)),AND(入力!L19=5,OR(入力!M19="",入力!M19&gt;9,入力!M19&lt;4)),AND(入力!L19=6,OR(入力!M19="",入力!M19&gt;9,入力!M19&lt;4)),AND(入力!L19=7,OR(入力!M19="",入力!M19&gt;9,入力!M19&lt;4)),AND(入力!L19=8,OR(入力!M19="",入力!M19&gt;9,入力!M19&lt;4)),AND(入力!L19=9,OR(入力!M19="",入力!M19&gt;9,入力!M19&lt;4))),"■",""),""))</f>
        <v/>
      </c>
      <c r="AU11" s="193" t="str">
        <f>IF(入力!$F$19="","",IF(AND(入力!$F$19&gt;DATE(税率・条件!$C$1+2018-65,計算!AU$3+1,1),入力!$F$19&lt;=DATE(税率・条件!$C$1+2018-40,計算!AU$3+1,1)),IF(OR(AND(入力!L19="",OR(入力!M19="",入力!M19&gt;10,入力!M19&lt;4)),AND(入力!L19=4,OR(入力!M19="",入力!M19&gt;10,入力!M19&lt;4)),AND(入力!L19=5,OR(入力!M19="",入力!M19&gt;10,入力!M19&lt;4)),AND(入力!L19=6,OR(入力!M19="",入力!M19&gt;10,入力!M19&lt;4)),AND(入力!L19=7,OR(入力!M19="",入力!M19&gt;10,入力!M19&lt;4)),AND(入力!L19=8,OR(入力!M19="",入力!M19&gt;10,入力!M19&lt;4)),AND(入力!L19=9,OR(入力!M19="",入力!M19&gt;10,入力!M19&lt;4)),AND(入力!L19=10,OR(入力!M19="",入力!M19&gt;10,入力!M19&lt;4))),"■",""),""))</f>
        <v/>
      </c>
      <c r="AV11" s="193" t="str">
        <f>IF(入力!$F$19="","",IF(AND(入力!$F$19&gt;DATE(税率・条件!$C$1+2018-65,計算!AV$3+1,1),入力!$F$19&lt;=DATE(税率・条件!$C$1+2018-40,計算!AV$3+1,1)),IF(OR(AND(入力!L19="",OR(入力!M19="",入力!M19&gt;11,入力!M19&lt;4)),AND(入力!L19=4,OR(入力!M19="",入力!M19&gt;11,入力!M19&lt;4)),AND(入力!L19=5,OR(入力!M19="",入力!M19&gt;11,入力!M19&lt;4)),AND(入力!L19=6,OR(入力!M19="",入力!M19&gt;11,入力!M19&lt;4)),AND(入力!L19=7,OR(入力!M19="",入力!M19&gt;11,入力!M19&lt;4)),AND(入力!L19=8,OR(入力!M19="",入力!M19&gt;11,入力!M19&lt;4)),AND(入力!L19=9,OR(入力!M19="",入力!M19&gt;11,入力!M19&lt;4)),AND(入力!L19=10,OR(入力!M19="",入力!M19&gt;11,入力!M19&lt;4)),AND(入力!L19=11,OR(入力!M19="",入力!M19&gt;11,入力!M19&lt;4))),"■",""),""))</f>
        <v/>
      </c>
      <c r="AW11" s="193" t="str">
        <f>IF(入力!$F$19="","",IF(AND(入力!$F$19&gt;DATE(税率・条件!$C$1+2018-65,計算!AW$3+1,1),入力!$F$19&lt;=DATE(税率・条件!$C$1+2018-40,計算!AW$3+1,1)),IF(OR(AND(入力!L19="",OR(入力!M19="",入力!M19&gt;12,入力!M19&lt;4)),AND(入力!L19=4,OR(入力!M19="",入力!M19&gt;12,入力!M19&lt;4)),AND(入力!L19=5,OR(入力!M19="",入力!M19&gt;12,入力!M19&lt;4)),AND(入力!L19=6,OR(入力!M19="",入力!M19&gt;12,入力!M19&lt;4)),AND(入力!L19=7,OR(入力!M19="",入力!M19&gt;12,入力!M19&lt;4)),AND(入力!L19=8,OR(入力!M19="",入力!M19&gt;12,入力!M19&lt;4)),AND(入力!L19=9,OR(入力!M19="",入力!M19&gt;12,入力!M19&lt;4)),AND(入力!L19=10,OR(入力!M19="",入力!M19&gt;12,入力!M19&lt;4)),AND(入力!L19=11,OR(入力!M19="",入力!M19&gt;12,入力!M19&lt;4)),AND(入力!L19=12,OR(入力!M19="",入力!M19&gt;12,入力!M19&lt;4))),"■",""),""))</f>
        <v/>
      </c>
      <c r="AX11" s="193" t="str">
        <f>IF(入力!$F$19="","",IF(AND(入力!$F$19&gt;DATE(税率・条件!$C$1+2019-65,計算!AX$3+1,1),入力!$F$19&lt;=DATE(税率・条件!$C$1+2019-40,計算!AX$3+1,1)),IF(OR(AND(入力!L19="",OR(入力!M19="",入力!M19=2,入力!M19=3)),AND(入力!L19=4,OR(入力!M19="",入力!M19=2,入力!M19=3)),AND(入力!L19=5,OR(入力!M19="",入力!M19=2,入力!M19=3)),AND(入力!L19=6,OR(入力!M19="",入力!M19=2,入力!M19=3)),AND(入力!L19=7,OR(入力!M19="",入力!M19=2,入力!M19=3)),AND(入力!L19=8,OR(入力!M19="",入力!M19=2,入力!M19=3)),AND(入力!L19=9,OR(入力!M19="",入力!M19=2,入力!M19=3)),AND(入力!L19=10,OR(入力!M19="",入力!M19=2,入力!M19=3)),AND(入力!L19=11,OR(入力!M19="",入力!M19=2,入力!M19=3)),AND(入力!L19=12,OR(入力!M19="",入力!M19=2,入力!M19=3)),AND(入力!L19=1,OR(入力!M19="",入力!M19=2,入力!M19=3))),"■",""),""))</f>
        <v/>
      </c>
      <c r="AY11" s="193" t="str">
        <f>IF(入力!$F$19="","",IF(AND(入力!$F$19&gt;DATE(税率・条件!$C$1+2019-65,計算!AY$3+1,1),入力!$F$19&lt;=DATE(税率・条件!$C$1+2019-40,計算!AY$3+1,1)),IF(OR(AND(入力!L19="",OR(入力!M19="",入力!M19=3)),AND(入力!L19=4,OR(入力!M19="",入力!M19=3)),AND(入力!L19=5,OR(入力!M19="",入力!M19=3)),AND(入力!L19=6,OR(入力!M19="",入力!M19=3)),AND(入力!L19=7,OR(入力!M19="",入力!M19=3)),AND(入力!L19=8,OR(入力!M19="",入力!M19=3)),AND(入力!L19=9,OR(入力!M19="",入力!M19=3)),AND(入力!L19=10,OR(入力!M19="",入力!M19=3)),AND(入力!L19=11,OR(入力!M19="",入力!M19=3)),AND(入力!L19=12,OR(入力!M19="",入力!M19=3)),AND(入力!L19=1,OR(入力!M19="",入力!M19=3)),AND(入力!L19=2,OR(入力!M19="",入力!M19=3))),"■",""),""))</f>
        <v/>
      </c>
      <c r="AZ11" s="200" t="str">
        <f>IF(入力!$F$19="","",IF(AND(入力!$F$19&gt;DATE(税率・条件!$C$1+2019-65,計算!AZ$3+1,1),入力!$F$19&lt;=DATE(税率・条件!$C$1+2019-40,計算!AZ$3+1,1)),IF(OR(AND(入力!L19="",入力!M19=""),AND(入力!L19=4,入力!M19=""),AND(入力!L19=5,入力!M19=""),AND(入力!L19=6,入力!M19=""),AND(入力!L19=7,入力!M19=""),AND(入力!L19=8,入力!M19=""),AND(入力!L19=9,入力!M19=""),AND(入力!L19=10,入力!M19=""),AND(入力!L19=11,入力!M19=""),AND(入力!L19=12,入力!M19=""),AND(入力!L19=1,入力!M19=""),AND(入力!L19=2,入力!M19=""),AND(入力!L19=3,入力!M19="")),"■",""),""))</f>
        <v/>
      </c>
      <c r="BD11" s="210" t="s">
        <v>179</v>
      </c>
      <c r="BE11" s="219">
        <f t="shared" ref="BE11:BP11" si="5">ROUND(ROUNDDOWN((IF(AO$4="",0,$AA4)+IF(AO$6="",0,$AA6)+IF(AO$8="",0,$AA8)+IF(AO$10="",0,$AA10)+IF(AO$12="",0,$AA12)+IF(AO$14="",0,$AA14)+IF(AO$16="",0,$AA16)+IF(AO$18="",0,$AA18)),0)/12,2)</f>
        <v>0</v>
      </c>
      <c r="BF11" s="219">
        <f t="shared" si="5"/>
        <v>0</v>
      </c>
      <c r="BG11" s="219">
        <f t="shared" si="5"/>
        <v>0</v>
      </c>
      <c r="BH11" s="219">
        <f t="shared" si="5"/>
        <v>0</v>
      </c>
      <c r="BI11" s="219">
        <f t="shared" si="5"/>
        <v>0</v>
      </c>
      <c r="BJ11" s="219">
        <f t="shared" si="5"/>
        <v>0</v>
      </c>
      <c r="BK11" s="219">
        <f t="shared" si="5"/>
        <v>0</v>
      </c>
      <c r="BL11" s="219">
        <f t="shared" si="5"/>
        <v>0</v>
      </c>
      <c r="BM11" s="219">
        <f t="shared" si="5"/>
        <v>0</v>
      </c>
      <c r="BN11" s="219">
        <f t="shared" si="5"/>
        <v>0</v>
      </c>
      <c r="BO11" s="219">
        <f t="shared" si="5"/>
        <v>0</v>
      </c>
      <c r="BP11" s="219">
        <f t="shared" si="5"/>
        <v>0</v>
      </c>
      <c r="BQ11" s="221">
        <f t="shared" si="0"/>
        <v>0</v>
      </c>
      <c r="BR11" s="229">
        <f t="shared" si="1"/>
        <v>0</v>
      </c>
    </row>
    <row r="12" spans="1:70" ht="18.95" customHeight="1" x14ac:dyDescent="0.15">
      <c r="A12" s="381" t="str">
        <f>入力!E20</f>
        <v>５</v>
      </c>
      <c r="B12" s="391" t="str">
        <f>IF(入力!F20="","",IF(入力!F20&lt;=DATE(税率・条件!C1+1953,1,1),"65歳以上",IF(入力!F20&gt;DATE(税率・条件!C1+2012,4,1),"未就学",IF(入力!F20&gt;DATE(税率・条件!C1+2000,4,1),"18歳未満","一般"))))</f>
        <v/>
      </c>
      <c r="C12" s="384" t="str">
        <f>IF(D12="","",IF(入力!K20="該 当","該当","非該当"))</f>
        <v/>
      </c>
      <c r="D12" s="306" t="str">
        <f>IF(入力!G20="","",ROUNDDOWN(VLOOKUP(入力!G20,$B$24:$J$30,6,1)*IF(入力!K20="該 当",0.3,1),0))</f>
        <v/>
      </c>
      <c r="E12" s="306" t="str">
        <f>IF(D12="","",IF(OR(D12="",K12=""),0,IF(D12+K12&lt;100000,0,IF(D12&lt;100000,D12,100000)+IF(K12&lt;100000,K12,100000)-100000)))</f>
        <v/>
      </c>
      <c r="F12" s="306" t="str">
        <f>IF(D12="","",D12-E12)</f>
        <v/>
      </c>
      <c r="G12" s="386" t="str">
        <f>IF(D12="","",IF(OR(D12="",L12=""),0,IF(D12+L12&lt;100000,0,IF(D12&lt;100000,D12,100000)+IF(L12&lt;100000,L12,100000)-100000)))</f>
        <v/>
      </c>
      <c r="H12" s="307" t="str">
        <f>IF(D12="","",D12-G12)</f>
        <v/>
      </c>
      <c r="I12" s="311" t="str">
        <f>IF(入力!H20="","",IF(B12="65歳以上",VLOOKUP(入力!H20,$B$43:$D$47,2,1),VLOOKUP(入力!H20,$B$35:$D$39,2,1)))</f>
        <v/>
      </c>
      <c r="J12" s="306" t="str">
        <f>IF(I12="","",IF(B12="65歳以上",VLOOKUP(入力!H20,$B$43:$D$47,3,1),VLOOKUP(入力!H20,$B$35:$D$39,3,1)))</f>
        <v/>
      </c>
      <c r="K12" s="306" t="str">
        <f>IF(I12="","",IF(入力!H20*計算!I12/100-計算!J12&lt;0,0,ROUNDDOWN(入力!H20*計算!I12/100-計算!J12,0)))</f>
        <v/>
      </c>
      <c r="L12" s="307" t="str">
        <f>IF(K12="","",IF(B12="65歳以上",IF(K12&lt;税率・条件!$G$9,0,K12-税率・条件!$G$9),K12))</f>
        <v/>
      </c>
      <c r="M12" s="309" t="str">
        <f>IF(入力!I20="","",入力!I20)</f>
        <v/>
      </c>
      <c r="N12" s="311" t="str">
        <f>IF(入力!F20="","",SUM(F12,K12,M12))</f>
        <v/>
      </c>
      <c r="O12" s="306" t="str">
        <f>IF(入力!P20&lt;&gt;"",IF(計算!N12-430000&gt;0,計算!N12-430000,0),"")</f>
        <v/>
      </c>
      <c r="P12" s="312" t="str">
        <f>IF(入力!Q20&lt;&gt;"",IF(計算!N12-430000&gt;0,計算!N12-430000,0),"")</f>
        <v/>
      </c>
      <c r="Q12" s="314" t="str">
        <f>IF(N12="","",IF(BB12&lt;&gt;BB20,"",SUM(H12,L12,M12)))</f>
        <v/>
      </c>
      <c r="R12" s="316" t="str">
        <f>IF(AND(D12="",K12=""),"",IF(BB12&lt;&gt;BB20,"",IF(OR(入力!G20&gt;税率・条件!K5,AND(B12="65歳以上",入力!H20&gt;税率・条件!K7),AND(B12&lt;&gt;"65歳以上",入力!H20&gt;税率・条件!K6)),1,"")))</f>
        <v/>
      </c>
      <c r="S12" s="318" t="str">
        <f>IF(N12="","",IF(AND(入力!$H$25&lt;&gt;"",入力!$C$19="全員申告済み",$BB$12=$BB$20),"該当",""))</f>
        <v/>
      </c>
      <c r="T12" s="388" t="str">
        <f>IF($O12="","",ROUNDDOWN($O12*税率・条件!$C$4/100,0))</f>
        <v/>
      </c>
      <c r="U12" s="302" t="str">
        <f>IF(入力!$P20="","",ROUNDDOWN(入力!$J20*税率・条件!$C$5/100,0))</f>
        <v/>
      </c>
      <c r="V12" s="302" t="str">
        <f>IF(入力!$P20="","",ROUNDDOWN(税率・条件!$C$6*(100%-IF(B12="未就学",税率・条件!$H$11,0%))*(100%-$M$34),0))</f>
        <v/>
      </c>
      <c r="W12" s="393"/>
      <c r="X12" s="304" t="str">
        <f>IF(SUM(T12:W12)&gt;0,SUM(T12:W12),"")</f>
        <v/>
      </c>
      <c r="Y12" s="300" t="str">
        <f>IF($O12="","",ROUNDDOWN($O12*税率・条件!$C$9/100,0))</f>
        <v/>
      </c>
      <c r="Z12" s="302" t="str">
        <f>IF(入力!$P20="","",ROUNDDOWN(入力!$J20*税率・条件!$C$10/100,0))</f>
        <v/>
      </c>
      <c r="AA12" s="302" t="str">
        <f>IF(入力!$P20="","",ROUNDDOWN(税率・条件!$C$11*(100%-IF(B12="未就学",税率・条件!$H$11,0%))*(100%-$M$34),0))</f>
        <v/>
      </c>
      <c r="AB12" s="393"/>
      <c r="AC12" s="304" t="str">
        <f>IF(SUM(Y12:AB12)&gt;0,SUM(Y12:AB12),"")</f>
        <v/>
      </c>
      <c r="AD12" s="300" t="str">
        <f>IF($P12="","",ROUNDDOWN($P12*税率・条件!$C$14/100,0))</f>
        <v/>
      </c>
      <c r="AE12" s="302" t="str">
        <f>IF(入力!$Q20="","",ROUNDDOWN(入力!$J20*税率・条件!$C$15/100,0))</f>
        <v/>
      </c>
      <c r="AF12" s="302" t="str">
        <f>IF(入力!$Q20="","",ROUNDDOWN(税率・条件!$C$16*(100%-$M$34),0))</f>
        <v/>
      </c>
      <c r="AG12" s="393"/>
      <c r="AH12" s="304" t="str">
        <f>IF(SUM(AD12:AG12)&gt;0,SUM(AD12:AG12),"")</f>
        <v/>
      </c>
      <c r="AI12" s="300" t="str">
        <f>IF($O12="","",ROUNDDOWN($O12*税率・条件!$C$19/100,0))</f>
        <v/>
      </c>
      <c r="AJ12" s="302" t="str">
        <f>IF(入力!$P20="","",ROUNDDOWN(入力!$J20*税率・条件!$C$20/100,0))</f>
        <v/>
      </c>
      <c r="AK12" s="302" t="str">
        <f>IF(入力!$P20="","",ROUNDDOWN(IF(OR(B12="18歳未満",B12="未就学"),0,税率・条件!$C$21)*(100%-$M$34),0))</f>
        <v/>
      </c>
      <c r="AL12" s="393"/>
      <c r="AM12" s="304" t="str">
        <f>IF(SUM(AI12:AL12)&gt;0,SUM(AI12:AL12),"")</f>
        <v/>
      </c>
      <c r="AN12" s="188" t="str">
        <f>IF(入力!$F$20="","",COUNTIF(AO12:AZ12,"●")+COUNTIF(AO12:AZ12,"▲"))</f>
        <v/>
      </c>
      <c r="AO12" s="192" t="str">
        <f>IF(入力!$F$20="","",IF(入力!$F$20&gt;=DATE(税率・条件!$C$1+2018,計算!AO$3+1,1),"",IF(入力!$F$20&gt;=DATE(税率・条件!$C$1+2018-75,計算!AO$3+1,1),IF(OR(AND(入力!L20="",OR(入力!M20="",入力!M20&gt;4,入力!M20&lt;4)),AND(入力!L20=4,OR(入力!M20="",入力!M20&gt;4,入力!M20&lt;4))),IF(OR(B12="未就学",B12="18歳未満"),"▲","●"),""),"")))</f>
        <v/>
      </c>
      <c r="AP12" s="192" t="str">
        <f>IF(入力!$F$20="","",IF(入力!$F$20&gt;=DATE(税率・条件!$C$1+2018,計算!AP$3+1,1),"",IF(入力!$F$20&gt;=DATE(税率・条件!$C$1+2018-75,計算!AP$3+1,1),IF(OR(AND(入力!L20="",OR(入力!M20="",入力!M20&gt;5,入力!M20&lt;4)),AND(入力!L20=4,OR(入力!M20="",入力!M20&gt;5,入力!M20&lt;4)),AND(入力!L20=5,OR(入力!M20="",入力!M20&gt;5,入力!M20&lt;4))),IF(OR(B12="未就学",B12="18歳未満"),"▲","●"),""),"")))</f>
        <v/>
      </c>
      <c r="AQ12" s="192" t="str">
        <f>IF(入力!$F$20="","",IF(入力!$F$20&gt;=DATE(税率・条件!$C$1+2018,計算!AQ$3+1,1),"",IF(入力!$F$20&gt;=DATE(税率・条件!$C$1+2018-75,計算!AQ$3+1,1),IF(OR(AND(入力!L20="",OR(入力!M20="",入力!M20&gt;6,入力!M20&lt;4)),AND(入力!L20=4,OR(入力!M20="",入力!M20&gt;6,入力!M20&lt;4)),AND(入力!L20=5,OR(入力!M20="",入力!M20&gt;6,入力!M20&lt;4)),AND(入力!L20=6,OR(入力!M20="",入力!M20&gt;6,入力!M20&lt;4))),IF(OR(B12="未就学",B12="18歳未満"),"▲","●"),""),"")))</f>
        <v/>
      </c>
      <c r="AR12" s="192" t="str">
        <f>IF(入力!$F$20="","",IF(入力!$F$20&gt;=DATE(税率・条件!$C$1+2018,計算!AR$3+1,1),"",IF(入力!$F$20&gt;=DATE(税率・条件!$C$1+2018-75,計算!AR$3+1,1),IF(OR(AND(入力!L20="",OR(入力!M20="",入力!M20&gt;7,入力!M20&lt;4)),AND(入力!L20=4,OR(入力!M20="",入力!M20&gt;7,入力!M20&lt;4)),AND(入力!L20=5,OR(入力!M20="",入力!M20&gt;7,入力!M20&lt;4)),AND(入力!L20=6,OR(入力!M20="",入力!M20&gt;7,入力!M20&lt;4)),AND(入力!L20=7,OR(入力!M20="",入力!M20&gt;7,入力!M20&lt;4))),IF(OR(B12="未就学",B12="18歳未満"),"▲","●"),""),"")))</f>
        <v/>
      </c>
      <c r="AS12" s="192" t="str">
        <f>IF(入力!$F$20="","",IF(入力!$F$20&gt;=DATE(税率・条件!$C$1+2018,計算!AS$3+1,1),"",IF(入力!$F$20&gt;=DATE(税率・条件!$C$1+2018-75,計算!AS$3+1,1),IF(OR(AND(入力!L20="",OR(入力!M20="",入力!M20&gt;8,入力!M20&lt;4)),AND(入力!L20=4,OR(入力!M20="",入力!M20&gt;8,入力!M20&lt;4)),AND(入力!L20=5,OR(入力!M20="",入力!M20&gt;8,入力!M20&lt;4)),AND(入力!L20=6,OR(入力!M20="",入力!M20&gt;8,入力!M20&lt;4)),AND(入力!L20=7,OR(入力!M20="",入力!M20&gt;8,入力!M20&lt;4)),AND(入力!L20=8,OR(入力!M20="",入力!M20&gt;8,入力!M20&lt;4))),IF(OR(B12="未就学",B12="18歳未満"),"▲","●"),""),"")))</f>
        <v/>
      </c>
      <c r="AT12" s="192" t="str">
        <f>IF(入力!$F$20="","",IF(入力!$F$20&gt;=DATE(税率・条件!$C$1+2018,計算!AT$3+1,1),"",IF(入力!$F$20&gt;=DATE(税率・条件!$C$1+2018-75,計算!AT$3+1,1),IF(OR(AND(入力!L20="",OR(入力!M20="",入力!M20&gt;9,入力!M20&lt;4)),AND(入力!L20=4,OR(入力!M20="",入力!M20&gt;9,入力!M20&lt;4)),AND(入力!L20=5,OR(入力!M20="",入力!M20&gt;9,入力!M20&lt;4)),AND(入力!L20=6,OR(入力!M20="",入力!M20&gt;9,入力!M20&lt;4)),AND(入力!L20=7,OR(入力!M20="",入力!M20&gt;9,入力!M20&lt;4)),AND(入力!L20=8,OR(入力!M20="",入力!M20&gt;9,入力!M20&lt;4)),AND(入力!L20=9,OR(入力!M20="",入力!M20&gt;9,入力!M20&lt;4))),IF(OR(B12="未就学",B12="18歳未満"),"▲","●"),""),"")))</f>
        <v/>
      </c>
      <c r="AU12" s="192" t="str">
        <f>IF(入力!$F$20="","",IF(入力!$F$20&gt;=DATE(税率・条件!$C$1+2018,計算!AU$3+1,1),"",IF(入力!$F$20&gt;=DATE(税率・条件!$C$1+2018-75,計算!AU$3+1,1),IF(OR(AND(入力!L20="",OR(入力!M20="",入力!M20&gt;10,入力!M20&lt;4)),AND(入力!L20=4,OR(入力!M20="",入力!M20&gt;10,入力!M20&lt;4)),AND(入力!L20=5,OR(入力!M20="",入力!M20&gt;10,入力!M20&lt;4)),AND(入力!L20=6,OR(入力!M20="",入力!M20&gt;10,入力!M20&lt;4)),AND(入力!L20=7,OR(入力!M20="",入力!M20&gt;10,入力!M20&lt;4)),AND(入力!L20=8,OR(入力!M20="",入力!M20&gt;10,入力!M20&lt;4)),AND(入力!L20=9,OR(入力!M20="",入力!M20&gt;10,入力!M20&lt;4)),AND(入力!L20=10,OR(入力!M20="",入力!M20&gt;10,入力!M20&lt;4))),IF(OR(B12="未就学",B12="18歳未満"),"▲","●"),""),"")))</f>
        <v/>
      </c>
      <c r="AV12" s="192" t="str">
        <f>IF(入力!$F$20="","",IF(入力!$F$20&gt;=DATE(税率・条件!$C$1+2018,計算!AV$3+1,1),"",IF(入力!$F$20&gt;=DATE(税率・条件!$C$1+2018-75,計算!AV$3+1,1),IF(OR(AND(入力!L20="",OR(入力!M20="",入力!M20&gt;11,入力!M20&lt;4)),AND(入力!L20=4,OR(入力!M20="",入力!M20&gt;11,入力!M20&lt;4)),AND(入力!L20=5,OR(入力!M20="",入力!M20&gt;11,入力!M20&lt;4)),AND(入力!L20=6,OR(入力!M20="",入力!M20&gt;11,入力!M20&lt;4)),AND(入力!L20=7,OR(入力!M20="",入力!M20&gt;11,入力!M20&lt;4)),AND(入力!L20=8,OR(入力!M20="",入力!M20&gt;11,入力!M20&lt;4)),AND(入力!L20=9,OR(入力!M20="",入力!M20&gt;11,入力!M20&lt;4)),AND(入力!L20=10,OR(入力!M20="",入力!M20&gt;11,入力!M20&lt;4)),AND(入力!L20=11,OR(入力!M20="",入力!M20&gt;11,入力!M20&lt;4))),IF(OR(B12="未就学",B12="18歳未満"),"▲","●"),""),"")))</f>
        <v/>
      </c>
      <c r="AW12" s="192" t="str">
        <f>IF(入力!$F$20="","",IF(入力!$F$20&gt;=DATE(税率・条件!$C$1+2018,計算!AW$3+1,1),"",IF(入力!$F$20&gt;=DATE(税率・条件!$C$1+2018-75,計算!AW$3+1,1),IF(OR(AND(入力!L20="",OR(入力!M20="",入力!M20&gt;12,入力!M20&lt;4)),AND(入力!L20=4,OR(入力!M20="",入力!M20&gt;12,入力!M20&lt;4)),AND(入力!L20=5,OR(入力!M20="",入力!M20&gt;12,入力!M20&lt;4)),AND(入力!L20=6,OR(入力!M20="",入力!M20&gt;12,入力!M20&lt;4)),AND(入力!L20=7,OR(入力!M20="",入力!M20&gt;12,入力!M20&lt;4)),AND(入力!L20=8,OR(入力!M20="",入力!M20&gt;12,入力!M20&lt;4)),AND(入力!L20=9,OR(入力!M20="",入力!M20&gt;12,入力!M20&lt;4)),AND(入力!L20=10,OR(入力!M20="",入力!M20&gt;12,入力!M20&lt;4)),AND(入力!L20=11,OR(入力!M20="",入力!M20&gt;12,入力!M20&lt;4)),AND(入力!L20=12,OR(入力!M20="",入力!M20&gt;12,入力!M20&lt;4))),IF(OR(B12="未就学",B12="18歳未満"),"▲","●"),""),"")))</f>
        <v/>
      </c>
      <c r="AX12" s="192" t="str">
        <f>IF(入力!$F$20="","",IF(入力!$F$20&gt;=DATE(税率・条件!$C$1+2019,計算!AX$3+1,1),"",IF(入力!$F$20&gt;=DATE(税率・条件!$C$1+2019-75,計算!AX$3+1,1),IF(OR(AND(入力!L20="",OR(入力!M20="",入力!M20=2,入力!M20=3)),AND(入力!L20=4,OR(入力!M20="",入力!M20=2,入力!M20=3)),AND(入力!L20=5,OR(入力!M20="",入力!M20=2,入力!M20=3)),AND(入力!L20=6,OR(入力!M20="",入力!M20=2,入力!M20=3)),AND(入力!L20=7,OR(入力!M20="",入力!M20=2,入力!M20=3)),AND(入力!L20=8,OR(入力!M20="",入力!M20=2,入力!M20=3)),AND(入力!L20=9,OR(入力!M20="",入力!M20=2,入力!M20=3)),AND(入力!L20=10,OR(入力!M20="",入力!M20=2,入力!M20=3)),AND(入力!L20=11,OR(入力!M20="",入力!M20=2,入力!M20=3)),AND(入力!L20=12,OR(入力!M20="",入力!M20=2,入力!M20=3)),AND(入力!L20=1,OR(入力!M20="",入力!M20=2,入力!M20=3))),IF(OR(B12="未就学",B12="18歳未満"),"▲","●"),""),"")))</f>
        <v/>
      </c>
      <c r="AY12" s="192" t="str">
        <f>IF(入力!$F$20="","",IF(入力!$F$20&gt;=DATE(税率・条件!$C$1+2019,計算!AY$3+1,1),"",IF(入力!$F$20&gt;=DATE(税率・条件!$C$1+2019-75,計算!AY$3+1,1),IF(OR(AND(入力!L20="",OR(入力!M20="",入力!M20=3)),AND(入力!L20=4,OR(入力!M20="",入力!M20=3)),AND(入力!L20=5,OR(入力!M20="",入力!M20=3)),AND(入力!L20=6,OR(入力!M20="",入力!M20=3)),AND(入力!L20=7,OR(入力!M20="",入力!M20=3)),AND(入力!L20=8,OR(入力!M20="",入力!M20=3)),AND(入力!L20=9,OR(入力!M20="",入力!M20=3)),AND(入力!L20=10,OR(入力!M20="",入力!M20=3)),AND(入力!L20=11,OR(入力!M20="",入力!M20=3)),AND(入力!L20=12,OR(入力!M20="",入力!M20=3)),AND(入力!L20=1,OR(入力!M20="",入力!M20=3)),AND(入力!L20=2,OR(入力!M20="",入力!M20=3))),IF(OR(B12="未就学",B12="18歳未満"),"▲","●"),""),"")))</f>
        <v/>
      </c>
      <c r="AZ12" s="199" t="str">
        <f>IF(入力!$F$20="","",IF(入力!$F$20&gt;=DATE(税率・条件!$C$1+2019,計算!AZ$3+1,1),"",IF(入力!$F$20&gt;=DATE(税率・条件!$C$1+2019-75,計算!AZ$3+1,1),IF(OR(AND(入力!L20="",入力!M20=""),AND(入力!L20=4,入力!M20=""),AND(入力!L20=5,入力!M20=""),AND(入力!L20=6,入力!M20=""),AND(入力!L20=7,入力!M20=""),AND(入力!L20=8,入力!M20=""),AND(入力!L20=9,入力!M20=""),AND(入力!L20=10,入力!M20=""),AND(入力!L20=11,入力!M20=""),AND(入力!L20=12,入力!M20=""),AND(入力!L20=1,入力!M20=""),AND(入力!L20=2,入力!M20=""),AND(入力!L20=3,入力!M20="")),IF(OR(B12="未就学",B12="18歳未満"),"▲","●"),""),"")))</f>
        <v/>
      </c>
      <c r="BB12" s="204" t="str">
        <f>IF(AND(AO$20=1,AO12&lt;&gt;""),4,IF(AND(AP$20=1,AP12&lt;&gt;""),5,IF(AND(AQ$20=1,AQ12&lt;&gt;""),6,IF(AND(AR$20=1,AR12&lt;&gt;""),7,IF(AND(AS$20=1,AS12&lt;&gt;""),8,IF(AND(AT$20=1,AT12&lt;&gt;""),9,IF(AND(AU$20=1,AU12&lt;&gt;""),10,IF(AND(AV$20=1,AV12&lt;&gt;""),11,IF(AND(AW$20=1,AW12&lt;&gt;""),12,IF(AND(AX$20=1,AX12&lt;&gt;""),1,IF(AND(AY$20=1,AY12&lt;&gt;""),2,IF(AND(AZ$20=1,AZ12&lt;&gt;""),3,""))))))))))))</f>
        <v/>
      </c>
      <c r="BD12" s="210" t="s">
        <v>174</v>
      </c>
      <c r="BE12" s="219">
        <f t="shared" ref="BE12:BP12" si="6">ROUND(ROUNDDOWN(IF(AO$20="",0,$AB4),0)/12,2)</f>
        <v>0</v>
      </c>
      <c r="BF12" s="219">
        <f t="shared" si="6"/>
        <v>0</v>
      </c>
      <c r="BG12" s="219">
        <f t="shared" si="6"/>
        <v>0</v>
      </c>
      <c r="BH12" s="219">
        <f t="shared" si="6"/>
        <v>0</v>
      </c>
      <c r="BI12" s="219">
        <f t="shared" si="6"/>
        <v>0</v>
      </c>
      <c r="BJ12" s="219">
        <f t="shared" si="6"/>
        <v>0</v>
      </c>
      <c r="BK12" s="219">
        <f t="shared" si="6"/>
        <v>0</v>
      </c>
      <c r="BL12" s="219">
        <f t="shared" si="6"/>
        <v>0</v>
      </c>
      <c r="BM12" s="219">
        <f t="shared" si="6"/>
        <v>0</v>
      </c>
      <c r="BN12" s="219">
        <f t="shared" si="6"/>
        <v>0</v>
      </c>
      <c r="BO12" s="219">
        <f t="shared" si="6"/>
        <v>0</v>
      </c>
      <c r="BP12" s="219">
        <f t="shared" si="6"/>
        <v>0</v>
      </c>
      <c r="BQ12" s="221">
        <f t="shared" si="0"/>
        <v>0</v>
      </c>
      <c r="BR12" s="229">
        <f t="shared" si="1"/>
        <v>0</v>
      </c>
    </row>
    <row r="13" spans="1:70" ht="18.95" customHeight="1" x14ac:dyDescent="0.15">
      <c r="A13" s="390"/>
      <c r="B13" s="392"/>
      <c r="C13" s="385"/>
      <c r="D13" s="303"/>
      <c r="E13" s="303"/>
      <c r="F13" s="303"/>
      <c r="G13" s="387"/>
      <c r="H13" s="308"/>
      <c r="I13" s="301"/>
      <c r="J13" s="303"/>
      <c r="K13" s="303"/>
      <c r="L13" s="308"/>
      <c r="M13" s="310"/>
      <c r="N13" s="301"/>
      <c r="O13" s="303"/>
      <c r="P13" s="313"/>
      <c r="Q13" s="315"/>
      <c r="R13" s="317"/>
      <c r="S13" s="319"/>
      <c r="T13" s="389"/>
      <c r="U13" s="303"/>
      <c r="V13" s="303"/>
      <c r="W13" s="394"/>
      <c r="X13" s="305"/>
      <c r="Y13" s="301"/>
      <c r="Z13" s="303"/>
      <c r="AA13" s="303"/>
      <c r="AB13" s="394"/>
      <c r="AC13" s="305"/>
      <c r="AD13" s="301"/>
      <c r="AE13" s="303"/>
      <c r="AF13" s="303"/>
      <c r="AG13" s="394"/>
      <c r="AH13" s="305"/>
      <c r="AI13" s="301"/>
      <c r="AJ13" s="303"/>
      <c r="AK13" s="303"/>
      <c r="AL13" s="394"/>
      <c r="AM13" s="305"/>
      <c r="AN13" s="189" t="str">
        <f>IF(入力!$F$20="","",COUNTIF(AO13:AZ13,"■"))</f>
        <v/>
      </c>
      <c r="AO13" s="193" t="str">
        <f>IF(入力!$F$20="","",IF(AND(入力!$F$20&gt;DATE(税率・条件!$C$1+2018-65,計算!AO$3+1,1),入力!$F$20&lt;=DATE(税率・条件!$C$1+2018-40,計算!AO$3+1,1)),IF(OR(AND(入力!L20="",OR(入力!M20="",入力!M20&gt;4,入力!M20&lt;4)),AND(入力!L20=4,OR(入力!M20="",入力!M20&gt;4,入力!M20&lt;4))),"■",""),""))</f>
        <v/>
      </c>
      <c r="AP13" s="193" t="str">
        <f>IF(入力!$F$20="","",IF(AND(入力!$F$20&gt;DATE(税率・条件!$C$1+2018-65,計算!AP$3+1,1),入力!$F$20&lt;=DATE(税率・条件!$C$1+2018-40,計算!AP$3+1,1)),IF(OR(AND(入力!L20="",OR(入力!M20="",入力!M20&gt;5,入力!M20&lt;4)),AND(入力!L20=4,OR(入力!M20="",入力!M20&gt;5,入力!M20&lt;4)),AND(入力!L20=5,OR(入力!M20="",入力!M20&gt;5,入力!M20&lt;4))),"■",""),""))</f>
        <v/>
      </c>
      <c r="AQ13" s="193" t="str">
        <f>IF(入力!$F$20="","",IF(AND(入力!$F$20&gt;DATE(税率・条件!$C$1+2018-65,計算!AQ$3+1,1),入力!$F$20&lt;=DATE(税率・条件!$C$1+2018-40,計算!AQ$3+1,1)),IF(OR(AND(入力!L20="",OR(入力!M20="",入力!M20&gt;6,入力!M20&lt;4)),AND(入力!L20=4,OR(入力!M20="",入力!M20&gt;6,入力!M20&lt;4)),AND(入力!L20=5,OR(入力!M20="",入力!M20&gt;6,入力!M20&lt;4)),AND(入力!L20=6,OR(入力!M20="",入力!M20&gt;6,入力!M20&lt;4))),"■",""),""))</f>
        <v/>
      </c>
      <c r="AR13" s="193" t="str">
        <f>IF(入力!$F$20="","",IF(AND(入力!$F$20&gt;DATE(税率・条件!$C$1+2018-65,計算!AR$3+1,1),入力!$F$20&lt;=DATE(税率・条件!$C$1+2018-40,計算!AR$3+1,1)),IF(OR(AND(入力!L20="",OR(入力!M20="",入力!M20&gt;7,入力!M20&lt;4)),AND(入力!L20=4,OR(入力!M20="",入力!M20&gt;7,入力!M20&lt;4)),AND(入力!L20=5,OR(入力!M20="",入力!M20&gt;7,入力!M20&lt;4)),AND(入力!L20=6,OR(入力!M20="",入力!M20&gt;7,入力!M20&lt;4)),AND(入力!L20=7,OR(入力!M20="",入力!M20&gt;7,入力!M20&lt;4))),"■",""),""))</f>
        <v/>
      </c>
      <c r="AS13" s="193" t="str">
        <f>IF(入力!$F$20="","",IF(AND(入力!$F$20&gt;DATE(税率・条件!$C$1+2018-65,計算!AS$3+1,1),入力!$F$20&lt;=DATE(税率・条件!$C$1+2018-40,計算!AS$3+1,1)),IF(OR(AND(入力!L20="",OR(入力!M20="",入力!M20&gt;8,入力!M20&lt;4)),AND(入力!L20=4,OR(入力!M20="",入力!M20&gt;8,入力!M20&lt;4)),AND(入力!L20=5,OR(入力!M20="",入力!M20&gt;8,入力!M20&lt;4)),AND(入力!L20=6,OR(入力!M20="",入力!M20&gt;8,入力!M20&lt;4)),AND(入力!L20=7,OR(入力!M20="",入力!M20&gt;8,入力!M20&lt;4)),AND(入力!L20=8,OR(入力!M20="",入力!M20&gt;8,入力!M20&lt;4))),"■",""),""))</f>
        <v/>
      </c>
      <c r="AT13" s="193" t="str">
        <f>IF(入力!$F$20="","",IF(AND(入力!$F$20&gt;DATE(税率・条件!$C$1+2018-65,計算!AT$3+1,1),入力!$F$20&lt;=DATE(税率・条件!$C$1+2018-40,計算!AT$3+1,1)),IF(OR(AND(入力!L20="",OR(入力!M20="",入力!M20&gt;9,入力!M20&lt;4)),AND(入力!L20=4,OR(入力!M20="",入力!M20&gt;9,入力!M20&lt;4)),AND(入力!L20=5,OR(入力!M20="",入力!M20&gt;9,入力!M20&lt;4)),AND(入力!L20=6,OR(入力!M20="",入力!M20&gt;9,入力!M20&lt;4)),AND(入力!L20=7,OR(入力!M20="",入力!M20&gt;9,入力!M20&lt;4)),AND(入力!L20=8,OR(入力!M20="",入力!M20&gt;9,入力!M20&lt;4)),AND(入力!L20=9,OR(入力!M20="",入力!M20&gt;9,入力!M20&lt;4))),"■",""),""))</f>
        <v/>
      </c>
      <c r="AU13" s="193" t="str">
        <f>IF(入力!$F$20="","",IF(AND(入力!$F$20&gt;DATE(税率・条件!$C$1+2018-65,計算!AU$3+1,1),入力!$F$20&lt;=DATE(税率・条件!$C$1+2018-40,計算!AU$3+1,1)),IF(OR(AND(入力!L20="",OR(入力!M20="",入力!M20&gt;10,入力!M20&lt;4)),AND(入力!L20=4,OR(入力!M20="",入力!M20&gt;10,入力!M20&lt;4)),AND(入力!L20=5,OR(入力!M20="",入力!M20&gt;10,入力!M20&lt;4)),AND(入力!L20=6,OR(入力!M20="",入力!M20&gt;10,入力!M20&lt;4)),AND(入力!L20=7,OR(入力!M20="",入力!M20&gt;10,入力!M20&lt;4)),AND(入力!L20=8,OR(入力!M20="",入力!M20&gt;10,入力!M20&lt;4)),AND(入力!L20=9,OR(入力!M20="",入力!M20&gt;10,入力!M20&lt;4)),AND(入力!L20=10,OR(入力!M20="",入力!M20&gt;10,入力!M20&lt;4))),"■",""),""))</f>
        <v/>
      </c>
      <c r="AV13" s="193" t="str">
        <f>IF(入力!$F$20="","",IF(AND(入力!$F$20&gt;DATE(税率・条件!$C$1+2018-65,計算!AV$3+1,1),入力!$F$20&lt;=DATE(税率・条件!$C$1+2018-40,計算!AV$3+1,1)),IF(OR(AND(入力!L20="",OR(入力!M20="",入力!M20&gt;11,入力!M20&lt;4)),AND(入力!L20=4,OR(入力!M20="",入力!M20&gt;11,入力!M20&lt;4)),AND(入力!L20=5,OR(入力!M20="",入力!M20&gt;11,入力!M20&lt;4)),AND(入力!L20=6,OR(入力!M20="",入力!M20&gt;11,入力!M20&lt;4)),AND(入力!L20=7,OR(入力!M20="",入力!M20&gt;11,入力!M20&lt;4)),AND(入力!L20=8,OR(入力!M20="",入力!M20&gt;11,入力!M20&lt;4)),AND(入力!L20=9,OR(入力!M20="",入力!M20&gt;11,入力!M20&lt;4)),AND(入力!L20=10,OR(入力!M20="",入力!M20&gt;11,入力!M20&lt;4)),AND(入力!L20=11,OR(入力!M20="",入力!M20&gt;11,入力!M20&lt;4))),"■",""),""))</f>
        <v/>
      </c>
      <c r="AW13" s="193" t="str">
        <f>IF(入力!$F$20="","",IF(AND(入力!$F$20&gt;DATE(税率・条件!$C$1+2018-65,計算!AW$3+1,1),入力!$F$20&lt;=DATE(税率・条件!$C$1+2018-40,計算!AW$3+1,1)),IF(OR(AND(入力!L20="",OR(入力!M20="",入力!M20&gt;12,入力!M20&lt;4)),AND(入力!L20=4,OR(入力!M20="",入力!M20&gt;12,入力!M20&lt;4)),AND(入力!L20=5,OR(入力!M20="",入力!M20&gt;12,入力!M20&lt;4)),AND(入力!L20=6,OR(入力!M20="",入力!M20&gt;12,入力!M20&lt;4)),AND(入力!L20=7,OR(入力!M20="",入力!M20&gt;12,入力!M20&lt;4)),AND(入力!L20=8,OR(入力!M20="",入力!M20&gt;12,入力!M20&lt;4)),AND(入力!L20=9,OR(入力!M20="",入力!M20&gt;12,入力!M20&lt;4)),AND(入力!L20=10,OR(入力!M20="",入力!M20&gt;12,入力!M20&lt;4)),AND(入力!L20=11,OR(入力!M20="",入力!M20&gt;12,入力!M20&lt;4)),AND(入力!L20=12,OR(入力!M20="",入力!M20&gt;12,入力!M20&lt;4))),"■",""),""))</f>
        <v/>
      </c>
      <c r="AX13" s="193" t="str">
        <f>IF(入力!$F$20="","",IF(AND(入力!$F$20&gt;DATE(税率・条件!$C$1+2019-65,計算!AX$3+1,1),入力!$F$20&lt;=DATE(税率・条件!$C$1+2019-40,計算!AX$3+1,1)),IF(OR(AND(入力!L20="",OR(入力!M20="",入力!M20=2,入力!M20=3)),AND(入力!L20=4,OR(入力!M20="",入力!M20=2,入力!M20=3)),AND(入力!L20=5,OR(入力!M20="",入力!M20=2,入力!M20=3)),AND(入力!L20=6,OR(入力!M20="",入力!M20=2,入力!M20=3)),AND(入力!L20=7,OR(入力!M20="",入力!M20=2,入力!M20=3)),AND(入力!L20=8,OR(入力!M20="",入力!M20=2,入力!M20=3)),AND(入力!L20=9,OR(入力!M20="",入力!M20=2,入力!M20=3)),AND(入力!L20=10,OR(入力!M20="",入力!M20=2,入力!M20=3)),AND(入力!L20=11,OR(入力!M20="",入力!M20=2,入力!M20=3)),AND(入力!L20=12,OR(入力!M20="",入力!M20=2,入力!M20=3)),AND(入力!L20=1,OR(入力!M20="",入力!M20=2,入力!M20=3))),"■",""),""))</f>
        <v/>
      </c>
      <c r="AY13" s="193" t="str">
        <f>IF(入力!$F$20="","",IF(AND(入力!$F$20&gt;DATE(税率・条件!$C$1+2019-65,計算!AY$3+1,1),入力!$F$20&lt;=DATE(税率・条件!$C$1+2019-40,計算!AY$3+1,1)),IF(OR(AND(入力!L20="",OR(入力!M20="",入力!M20=3)),AND(入力!L20=4,OR(入力!M20="",入力!M20=3)),AND(入力!L20=5,OR(入力!M20="",入力!M20=3)),AND(入力!L20=6,OR(入力!M20="",入力!M20=3)),AND(入力!L20=7,OR(入力!M20="",入力!M20=3)),AND(入力!L20=8,OR(入力!M20="",入力!M20=3)),AND(入力!L20=9,OR(入力!M20="",入力!M20=3)),AND(入力!L20=10,OR(入力!M20="",入力!M20=3)),AND(入力!L20=11,OR(入力!M20="",入力!M20=3)),AND(入力!L20=12,OR(入力!M20="",入力!M20=3)),AND(入力!L20=1,OR(入力!M20="",入力!M20=3)),AND(入力!L20=2,OR(入力!M20="",入力!M20=3))),"■",""),""))</f>
        <v/>
      </c>
      <c r="AZ13" s="200" t="str">
        <f>IF(入力!$F$20="","",IF(AND(入力!$F$20&gt;DATE(税率・条件!$C$1+2019-65,計算!AZ$3+1,1),入力!$F$20&lt;=DATE(税率・条件!$C$1+2019-40,計算!AZ$3+1,1)),IF(OR(AND(入力!L20="",入力!M20=""),AND(入力!L20=4,入力!M20=""),AND(入力!L20=5,入力!M20=""),AND(入力!L20=6,入力!M20=""),AND(入力!L20=7,入力!M20=""),AND(入力!L20=8,入力!M20=""),AND(入力!L20=9,入力!M20=""),AND(入力!L20=10,入力!M20=""),AND(入力!L20=11,入力!M20=""),AND(入力!L20=12,入力!M20=""),AND(入力!L20=1,入力!M20=""),AND(入力!L20=2,入力!M20=""),AND(入力!L20=3,入力!M20="")),"■",""),""))</f>
        <v/>
      </c>
      <c r="BD13" s="211" t="s">
        <v>185</v>
      </c>
      <c r="BE13" s="218">
        <f t="shared" ref="BE13:BP13" si="7">SUM(BE9:BE12)</f>
        <v>0</v>
      </c>
      <c r="BF13" s="218">
        <f t="shared" si="7"/>
        <v>0</v>
      </c>
      <c r="BG13" s="218">
        <f t="shared" si="7"/>
        <v>0</v>
      </c>
      <c r="BH13" s="218">
        <f t="shared" si="7"/>
        <v>0</v>
      </c>
      <c r="BI13" s="218">
        <f t="shared" si="7"/>
        <v>0</v>
      </c>
      <c r="BJ13" s="218">
        <f t="shared" si="7"/>
        <v>0</v>
      </c>
      <c r="BK13" s="218">
        <f t="shared" si="7"/>
        <v>0</v>
      </c>
      <c r="BL13" s="218">
        <f t="shared" si="7"/>
        <v>0</v>
      </c>
      <c r="BM13" s="218">
        <f t="shared" si="7"/>
        <v>0</v>
      </c>
      <c r="BN13" s="218">
        <f t="shared" si="7"/>
        <v>0</v>
      </c>
      <c r="BO13" s="218">
        <f t="shared" si="7"/>
        <v>0</v>
      </c>
      <c r="BP13" s="218">
        <f t="shared" si="7"/>
        <v>0</v>
      </c>
      <c r="BQ13" s="218">
        <f t="shared" si="0"/>
        <v>0</v>
      </c>
      <c r="BR13" s="230">
        <f t="shared" si="1"/>
        <v>0</v>
      </c>
    </row>
    <row r="14" spans="1:70" ht="18.95" customHeight="1" x14ac:dyDescent="0.15">
      <c r="A14" s="381" t="str">
        <f>入力!E21</f>
        <v>６</v>
      </c>
      <c r="B14" s="391" t="str">
        <f>IF(入力!F21="","",IF(入力!F21&lt;=DATE(税率・条件!C1+1953,1,1),"65歳以上",IF(入力!F21&gt;DATE(税率・条件!C1+2012,4,1),"未就学",IF(入力!F21&gt;DATE(税率・条件!C1+2000,4,1),"18歳未満","一般"))))</f>
        <v/>
      </c>
      <c r="C14" s="384" t="str">
        <f>IF(D14="","",IF(入力!K21="該 当","該当","非該当"))</f>
        <v/>
      </c>
      <c r="D14" s="306" t="str">
        <f>IF(入力!G21="","",ROUNDDOWN(VLOOKUP(入力!G21,$B$24:$J$30,7,1)*IF(入力!K21="該 当",0.3,1),0))</f>
        <v/>
      </c>
      <c r="E14" s="306" t="str">
        <f>IF(D14="","",IF(OR(D14="",K14=""),0,IF(D14+K14&lt;100000,0,IF(D14&lt;100000,D14,100000)+IF(K14&lt;100000,K14,100000)-100000)))</f>
        <v/>
      </c>
      <c r="F14" s="306" t="str">
        <f>IF(D14="","",D14-E14)</f>
        <v/>
      </c>
      <c r="G14" s="386" t="str">
        <f>IF(D14="","",IF(OR(D14="",L14=""),0,IF(D14+L14&lt;100000,0,IF(D14&lt;100000,D14,100000)+IF(L14&lt;100000,L14,100000)-100000)))</f>
        <v/>
      </c>
      <c r="H14" s="307" t="str">
        <f>IF(D14="","",D14-G14)</f>
        <v/>
      </c>
      <c r="I14" s="311" t="str">
        <f>IF(入力!H21="","",IF(B14="65歳以上",VLOOKUP(入力!H21,$B$43:$D$47,2,1),VLOOKUP(入力!H21,$B$35:$D$39,2,1)))</f>
        <v/>
      </c>
      <c r="J14" s="306" t="str">
        <f>IF(I14="","",IF(B14="65歳以上",VLOOKUP(入力!H21,$B$43:$D$47,3,1),VLOOKUP(入力!H21,$B$35:$D$39,3,1)))</f>
        <v/>
      </c>
      <c r="K14" s="306" t="str">
        <f>IF(I14="","",IF(入力!H21*計算!I14/100-計算!J14&lt;0,0,ROUNDDOWN(入力!H21*計算!I14/100-計算!J14,0)))</f>
        <v/>
      </c>
      <c r="L14" s="307" t="str">
        <f>IF(K14="","",IF(B14="65歳以上",IF(K14&lt;税率・条件!$G$9,0,K14-税率・条件!$G$9),K14))</f>
        <v/>
      </c>
      <c r="M14" s="309" t="str">
        <f>IF(入力!I21="","",入力!I21)</f>
        <v/>
      </c>
      <c r="N14" s="311" t="str">
        <f>IF(入力!F21="","",SUM(F14,K14,M14))</f>
        <v/>
      </c>
      <c r="O14" s="306" t="str">
        <f>IF(入力!P21&lt;&gt;"",IF(計算!N14-430000&gt;0,計算!N14-430000,0),"")</f>
        <v/>
      </c>
      <c r="P14" s="312" t="str">
        <f>IF(入力!Q21&lt;&gt;"",IF(計算!N14-430000&gt;0,計算!N14-430000,0),"")</f>
        <v/>
      </c>
      <c r="Q14" s="314" t="str">
        <f>IF(N14="","",IF(BB14&lt;&gt;BB20,"",SUM(H14,L14,M14)))</f>
        <v/>
      </c>
      <c r="R14" s="316" t="str">
        <f>IF(AND(D14="",K14=""),"",IF(BB14&lt;&gt;BB20,"",IF(OR(入力!G21&gt;税率・条件!K5,AND(B14="65歳以上",入力!H21&gt;税率・条件!K7),AND(B14&lt;&gt;"65歳以上",入力!H21&gt;税率・条件!K6)),1,"")))</f>
        <v/>
      </c>
      <c r="S14" s="318" t="str">
        <f>IF(N14="","",IF(AND(入力!$H$25&lt;&gt;"",入力!$C$19="全員申告済み",$BB$14=$BB$20),"該当",""))</f>
        <v/>
      </c>
      <c r="T14" s="388" t="str">
        <f>IF($O14="","",ROUNDDOWN($O14*税率・条件!$C$4/100,0))</f>
        <v/>
      </c>
      <c r="U14" s="302" t="str">
        <f>IF(入力!$P21="","",ROUNDDOWN(入力!$J21*税率・条件!$C$5/100,0))</f>
        <v/>
      </c>
      <c r="V14" s="302" t="str">
        <f>IF(入力!$P21="","",ROUNDDOWN(税率・条件!$C$6*(100%-IF(B14="未就学",税率・条件!$H$11,0%))*(100%-$M$34),0))</f>
        <v/>
      </c>
      <c r="W14" s="393"/>
      <c r="X14" s="304" t="str">
        <f>IF(SUM(T14:W14)&gt;0,SUM(T14:W14),"")</f>
        <v/>
      </c>
      <c r="Y14" s="300" t="str">
        <f>IF($O14="","",ROUNDDOWN($O14*税率・条件!$C$9/100,0))</f>
        <v/>
      </c>
      <c r="Z14" s="302" t="str">
        <f>IF(入力!$P21="","",ROUNDDOWN(入力!$J21*税率・条件!$C$10/100,0))</f>
        <v/>
      </c>
      <c r="AA14" s="302" t="str">
        <f>IF(入力!$P21="","",ROUNDDOWN(税率・条件!$C$11*(100%-IF(B14="未就学",税率・条件!$H$11,0%))*(100%-$M$34),0))</f>
        <v/>
      </c>
      <c r="AB14" s="393"/>
      <c r="AC14" s="304" t="str">
        <f>IF(SUM(Y14:AB14)&gt;0,SUM(Y14:AB14),"")</f>
        <v/>
      </c>
      <c r="AD14" s="300" t="str">
        <f>IF($P14="","",ROUNDDOWN($P14*税率・条件!$C$14/100,0))</f>
        <v/>
      </c>
      <c r="AE14" s="302" t="str">
        <f>IF(入力!$Q21="","",ROUNDDOWN(入力!$J21*税率・条件!$C$15/100,0))</f>
        <v/>
      </c>
      <c r="AF14" s="302" t="str">
        <f>IF(入力!$Q21="","",ROUNDDOWN(税率・条件!$C$16*(100%-$M$34),0))</f>
        <v/>
      </c>
      <c r="AG14" s="393"/>
      <c r="AH14" s="304" t="str">
        <f>IF(SUM(AD14:AG14)&gt;0,SUM(AD14:AG14),"")</f>
        <v/>
      </c>
      <c r="AI14" s="300" t="str">
        <f>IF($O14="","",ROUNDDOWN($O14*税率・条件!$C$19/100,0))</f>
        <v/>
      </c>
      <c r="AJ14" s="302" t="str">
        <f>IF(入力!$P21="","",ROUNDDOWN(入力!$J21*税率・条件!$C$20/100,0))</f>
        <v/>
      </c>
      <c r="AK14" s="302" t="str">
        <f>IF(入力!$P21="","",ROUNDDOWN(IF(OR(B14="18歳未満",B14="未就学"),0,税率・条件!$C$21)*(100%-$M$34),0))</f>
        <v/>
      </c>
      <c r="AL14" s="393"/>
      <c r="AM14" s="304" t="str">
        <f>IF(SUM(AI14:AL14)&gt;0,SUM(AI14:AL14),"")</f>
        <v/>
      </c>
      <c r="AN14" s="188" t="str">
        <f>IF(入力!$F$21="","",COUNTIF(AO14:AZ14,"●")+COUNTIF(AO14:AZ14,"▲"))</f>
        <v/>
      </c>
      <c r="AO14" s="192" t="str">
        <f>IF(入力!$F$21="","",IF(入力!$F$21&gt;=DATE(税率・条件!$C$1+2018,計算!AO$3+1,1),"",IF(入力!$F$21&gt;=DATE(税率・条件!$C$1+2018-75,計算!AO$3+1,1),IF(OR(AND(入力!L21="",OR(入力!M21="",入力!M21&gt;4,入力!M21&lt;4)),AND(入力!L21=4,OR(入力!M21="",入力!M21&gt;4,入力!M21&lt;4))),IF(OR(B14="未就学",B14="18歳未満"),"▲","●"),""),"")))</f>
        <v/>
      </c>
      <c r="AP14" s="192" t="str">
        <f>IF(入力!$F$21="","",IF(入力!$F$21&gt;=DATE(税率・条件!$C$1+2018,計算!AP$3+1,1),"",IF(入力!$F$21&gt;=DATE(税率・条件!$C$1+2018-75,計算!AP$3+1,1),IF(OR(AND(入力!L21="",OR(入力!M21="",入力!M21&gt;5,入力!M21&lt;4)),AND(入力!L21=4,OR(入力!M21="",入力!M21&gt;5,入力!M21&lt;4)),AND(入力!L21=5,OR(入力!M21="",入力!M21&gt;5,入力!M21&lt;4))),IF(OR(B14="未就学",B14="18歳未満"),"▲","●"),""),"")))</f>
        <v/>
      </c>
      <c r="AQ14" s="192" t="str">
        <f>IF(入力!$F$21="","",IF(入力!$F$21&gt;=DATE(税率・条件!$C$1+2018,計算!AQ$3+1,1),"",IF(入力!$F$21&gt;=DATE(税率・条件!$C$1+2018-75,計算!AQ$3+1,1),IF(OR(AND(入力!L21="",OR(入力!M21="",入力!M21&gt;6,入力!M21&lt;4)),AND(入力!L21=4,OR(入力!M21="",入力!M21&gt;6,入力!M21&lt;4)),AND(入力!L21=5,OR(入力!M21="",入力!M21&gt;6,入力!M21&lt;4)),AND(入力!L21=6,OR(入力!M21="",入力!M21&gt;6,入力!M21&lt;4))),IF(OR(B14="未就学",B14="18歳未満"),"▲","●"),""),"")))</f>
        <v/>
      </c>
      <c r="AR14" s="192" t="str">
        <f>IF(入力!$F$21="","",IF(入力!$F$21&gt;=DATE(税率・条件!$C$1+2018,計算!AR$3+1,1),"",IF(入力!$F$21&gt;=DATE(税率・条件!$C$1+2018-75,計算!AR$3+1,1),IF(OR(AND(入力!L21="",OR(入力!M21="",入力!M21&gt;7,入力!M21&lt;4)),AND(入力!L21=4,OR(入力!M21="",入力!M21&gt;7,入力!M21&lt;4)),AND(入力!L21=5,OR(入力!M21="",入力!M21&gt;7,入力!M21&lt;4)),AND(入力!L21=6,OR(入力!M21="",入力!M21&gt;7,入力!M21&lt;4)),AND(入力!L21=7,OR(入力!M21="",入力!M21&gt;7,入力!M21&lt;4))),IF(OR(B14="未就学",B14="18歳未満"),"▲","●"),""),"")))</f>
        <v/>
      </c>
      <c r="AS14" s="192" t="str">
        <f>IF(入力!$F$21="","",IF(入力!$F$21&gt;=DATE(税率・条件!$C$1+2018,計算!AS$3+1,1),"",IF(入力!$F$21&gt;=DATE(税率・条件!$C$1+2018-75,計算!AS$3+1,1),IF(OR(AND(入力!L21="",OR(入力!M21="",入力!M21&gt;8,入力!M21&lt;4)),AND(入力!L21=4,OR(入力!M21="",入力!M21&gt;8,入力!M21&lt;4)),AND(入力!L21=5,OR(入力!M21="",入力!M21&gt;8,入力!M21&lt;4)),AND(入力!L21=6,OR(入力!M21="",入力!M21&gt;8,入力!M21&lt;4)),AND(入力!L21=7,OR(入力!M21="",入力!M21&gt;8,入力!M21&lt;4)),AND(入力!L21=8,OR(入力!M21="",入力!M21&gt;8,入力!M21&lt;4))),IF(OR(B14="未就学",B14="18歳未満"),"▲","●"),""),"")))</f>
        <v/>
      </c>
      <c r="AT14" s="192" t="str">
        <f>IF(入力!$F$21="","",IF(入力!$F$21&gt;=DATE(税率・条件!$C$1+2018,計算!AT$3+1,1),"",IF(入力!$F$21&gt;=DATE(税率・条件!$C$1+2018-75,計算!AT$3+1,1),IF(OR(AND(入力!L21="",OR(入力!M21="",入力!M21&gt;9,入力!M21&lt;4)),AND(入力!L21=4,OR(入力!M21="",入力!M21&gt;9,入力!M21&lt;4)),AND(入力!L21=5,OR(入力!M21="",入力!M21&gt;9,入力!M21&lt;4)),AND(入力!L21=6,OR(入力!M21="",入力!M21&gt;9,入力!M21&lt;4)),AND(入力!L21=7,OR(入力!M21="",入力!M21&gt;9,入力!M21&lt;4)),AND(入力!L21=8,OR(入力!M21="",入力!M21&gt;9,入力!M21&lt;4)),AND(入力!L21=9,OR(入力!M21="",入力!M21&gt;9,入力!M21&lt;4))),IF(OR(B14="未就学",B14="18歳未満"),"▲","●"),""),"")))</f>
        <v/>
      </c>
      <c r="AU14" s="192" t="str">
        <f>IF(入力!$F$21="","",IF(入力!$F$21&gt;=DATE(税率・条件!$C$1+2018,計算!AU$3+1,1),"",IF(入力!$F$21&gt;=DATE(税率・条件!$C$1+2018-75,計算!AU$3+1,1),IF(OR(AND(入力!L21="",OR(入力!M21="",入力!M21&gt;10,入力!M21&lt;4)),AND(入力!L21=4,OR(入力!M21="",入力!M21&gt;10,入力!M21&lt;4)),AND(入力!L21=5,OR(入力!M21="",入力!M21&gt;10,入力!M21&lt;4)),AND(入力!L21=6,OR(入力!M21="",入力!M21&gt;10,入力!M21&lt;4)),AND(入力!L21=7,OR(入力!M21="",入力!M21&gt;10,入力!M21&lt;4)),AND(入力!L21=8,OR(入力!M21="",入力!M21&gt;10,入力!M21&lt;4)),AND(入力!L21=9,OR(入力!M21="",入力!M21&gt;10,入力!M21&lt;4)),AND(入力!L21=10,OR(入力!M21="",入力!M21&gt;10,入力!M21&lt;4))),IF(OR(B14="未就学",B14="18歳未満"),"▲","●"),""),"")))</f>
        <v/>
      </c>
      <c r="AV14" s="192" t="str">
        <f>IF(入力!$F$21="","",IF(入力!$F$21&gt;=DATE(税率・条件!$C$1+2018,計算!AV$3+1,1),"",IF(入力!$F$21&gt;=DATE(税率・条件!$C$1+2018-75,計算!AV$3+1,1),IF(OR(AND(入力!L21="",OR(入力!M21="",入力!M21&gt;11,入力!M21&lt;4)),AND(入力!L21=4,OR(入力!M21="",入力!M21&gt;11,入力!M21&lt;4)),AND(入力!L21=5,OR(入力!M21="",入力!M21&gt;11,入力!M21&lt;4)),AND(入力!L21=6,OR(入力!M21="",入力!M21&gt;11,入力!M21&lt;4)),AND(入力!L21=7,OR(入力!M21="",入力!M21&gt;11,入力!M21&lt;4)),AND(入力!L21=8,OR(入力!M21="",入力!M21&gt;11,入力!M21&lt;4)),AND(入力!L21=9,OR(入力!M21="",入力!M21&gt;11,入力!M21&lt;4)),AND(入力!L21=10,OR(入力!M21="",入力!M21&gt;11,入力!M21&lt;4)),AND(入力!L21=11,OR(入力!M21="",入力!M21&gt;11,入力!M21&lt;4))),IF(OR(B14="未就学",B14="18歳未満"),"▲","●"),""),"")))</f>
        <v/>
      </c>
      <c r="AW14" s="192" t="str">
        <f>IF(入力!$F$21="","",IF(入力!$F$21&gt;=DATE(税率・条件!$C$1+2018,計算!AW$3+1,1),"",IF(入力!$F$21&gt;=DATE(税率・条件!$C$1+2018-75,計算!AW$3+1,1),IF(OR(AND(入力!L21="",OR(入力!M21="",入力!M21&gt;12,入力!M21&lt;4)),AND(入力!L21=4,OR(入力!M21="",入力!M21&gt;12,入力!M21&lt;4)),AND(入力!L21=5,OR(入力!M21="",入力!M21&gt;12,入力!M21&lt;4)),AND(入力!L21=6,OR(入力!M21="",入力!M21&gt;12,入力!M21&lt;4)),AND(入力!L21=7,OR(入力!M21="",入力!M21&gt;12,入力!M21&lt;4)),AND(入力!L21=8,OR(入力!M21="",入力!M21&gt;12,入力!M21&lt;4)),AND(入力!L21=9,OR(入力!M21="",入力!M21&gt;12,入力!M21&lt;4)),AND(入力!L21=10,OR(入力!M21="",入力!M21&gt;12,入力!M21&lt;4)),AND(入力!L21=11,OR(入力!M21="",入力!M21&gt;12,入力!M21&lt;4)),AND(入力!L21=12,OR(入力!M21="",入力!M21&gt;12,入力!M21&lt;4))),IF(OR(B14="未就学",B14="18歳未満"),"▲","●"),""),"")))</f>
        <v/>
      </c>
      <c r="AX14" s="192" t="str">
        <f>IF(入力!$F$21="","",IF(入力!$F$21&gt;=DATE(税率・条件!$C$1+2019,計算!AX$3+1,1),"",IF(入力!$F$21&gt;=DATE(税率・条件!$C$1+2019-75,計算!AX$3+1,1),IF(OR(AND(入力!L21="",OR(入力!M21="",入力!M21=2,入力!M21=3)),AND(入力!L21=4,OR(入力!M21="",入力!M21=2,入力!M21=3)),AND(入力!L21=5,OR(入力!M21="",入力!M21=2,入力!M21=3)),AND(入力!L21=6,OR(入力!M21="",入力!M21=2,入力!M21=3)),AND(入力!L21=7,OR(入力!M21="",入力!M21=2,入力!M21=3)),AND(入力!L21=8,OR(入力!M21="",入力!M21=2,入力!M21=3)),AND(入力!L21=9,OR(入力!M21="",入力!M21=2,入力!M21=3)),AND(入力!L21=10,OR(入力!M21="",入力!M21=2,入力!M21=3)),AND(入力!L21=11,OR(入力!M21="",入力!M21=2,入力!M21=3)),AND(入力!L21=12,OR(入力!M21="",入力!M21=2,入力!M21=3)),AND(入力!L21=1,OR(入力!M21="",入力!M21=2,入力!M21=3))),IF(OR(B14="未就学",B14="18歳未満"),"▲","●"),""),"")))</f>
        <v/>
      </c>
      <c r="AY14" s="192" t="str">
        <f>IF(入力!$F$21="","",IF(入力!$F$21&gt;=DATE(税率・条件!$C$1+2019,計算!AY$3+1,1),"",IF(入力!$F$21&gt;=DATE(税率・条件!$C$1+2019-75,計算!AY$3+1,1),IF(OR(AND(入力!L21="",OR(入力!M21="",入力!M21=3)),AND(入力!L21=4,OR(入力!M21="",入力!M21=3)),AND(入力!L21=5,OR(入力!M21="",入力!M21=3)),AND(入力!L21=6,OR(入力!M21="",入力!M21=3)),AND(入力!L21=7,OR(入力!M21="",入力!M21=3)),AND(入力!L21=8,OR(入力!M21="",入力!M21=3)),AND(入力!L21=9,OR(入力!M21="",入力!M21=3)),AND(入力!L21=10,OR(入力!M21="",入力!M21=3)),AND(入力!L21=11,OR(入力!M21="",入力!M21=3)),AND(入力!L21=12,OR(入力!M21="",入力!M21=3)),AND(入力!L21=1,OR(入力!M21="",入力!M21=3)),AND(入力!L21=2,OR(入力!M21="",入力!M21=3))),IF(OR(B14="未就学",B14="18歳未満"),"▲","●"),""),"")))</f>
        <v/>
      </c>
      <c r="AZ14" s="199" t="str">
        <f>IF(入力!$F$21="","",IF(入力!$F$21&gt;=DATE(税率・条件!$C$1+2019,計算!AZ$3+1,1),"",IF(入力!$F$21&gt;=DATE(税率・条件!$C$1+2019-75,計算!AZ$3+1,1),IF(OR(AND(入力!L21="",入力!M21=""),AND(入力!L21=4,入力!M21=""),AND(入力!L21=5,入力!M21=""),AND(入力!L21=6,入力!M21=""),AND(入力!L21=7,入力!M21=""),AND(入力!L21=8,入力!M21=""),AND(入力!L21=9,入力!M21=""),AND(入力!L21=10,入力!M21=""),AND(入力!L21=11,入力!M21=""),AND(入力!L21=12,入力!M21=""),AND(入力!L21=1,入力!M21=""),AND(入力!L21=2,入力!M21=""),AND(入力!L21=3,入力!M21="")),IF(OR(B14="未就学",B14="18歳未満"),"▲","●"),""),"")))</f>
        <v/>
      </c>
      <c r="BB14" s="204" t="str">
        <f>IF(AND(AO$20=1,AO14&lt;&gt;""),4,IF(AND(AP$20=1,AP14&lt;&gt;""),5,IF(AND(AQ$20=1,AQ14&lt;&gt;""),6,IF(AND(AR$20=1,AR14&lt;&gt;""),7,IF(AND(AS$20=1,AS14&lt;&gt;""),8,IF(AND(AT$20=1,AT14&lt;&gt;""),9,IF(AND(AU$20=1,AU14&lt;&gt;""),10,IF(AND(AV$20=1,AV14&lt;&gt;""),11,IF(AND(AW$20=1,AW14&lt;&gt;""),12,IF(AND(AX$20=1,AX14&lt;&gt;""),1,IF(AND(AY$20=1,AY14&lt;&gt;""),2,IF(AND(AZ$20=1,AZ14&lt;&gt;""),3,""))))))))))))</f>
        <v/>
      </c>
      <c r="BD14" s="209" t="s">
        <v>92</v>
      </c>
      <c r="BE14" s="216">
        <f>ROUND(ROUNDDOWN((IF(AO$5="",0,$P4)+IF(AO$7="",0,$P6)+IF(AO$9="",0,$P8)+IF(AO$11="",0,$P10)+IF(AO$13="",0,$P12)+IF(AO$15="",0,$P14)+IF(AO$17="",0,$P16)+IF(AO$19="",0,$P18))*税率・条件!$C$14/100,0)/12,2)</f>
        <v>0</v>
      </c>
      <c r="BF14" s="216">
        <f>ROUND(ROUNDDOWN((IF(AP$5="",0,$P4)+IF(AP$7="",0,$P6)+IF(AP$9="",0,$P8)+IF(AP$11="",0,$P10)+IF(AP$13="",0,$P12)+IF(AP$15="",0,$P14)+IF(AP$17="",0,$P16)+IF(AP$19="",0,$P18))*税率・条件!$C$14/100,0)/12,2)</f>
        <v>0</v>
      </c>
      <c r="BG14" s="216">
        <f>ROUND(ROUNDDOWN((IF(AQ$5="",0,$P4)+IF(AQ$7="",0,$P6)+IF(AQ$9="",0,$P8)+IF(AQ$11="",0,$P10)+IF(AQ$13="",0,$P12)+IF(AQ$15="",0,$P14)+IF(AQ$17="",0,$P16)+IF(AQ$19="",0,$P18))*税率・条件!$C$14/100,0)/12,2)</f>
        <v>0</v>
      </c>
      <c r="BH14" s="216">
        <f>ROUND(ROUNDDOWN((IF(AR$5="",0,$P4)+IF(AR$7="",0,$P6)+IF(AR$9="",0,$P8)+IF(AR$11="",0,$P10)+IF(AR$13="",0,$P12)+IF(AR$15="",0,$P14)+IF(AR$17="",0,$P16)+IF(AR$19="",0,$P18))*税率・条件!$C$14/100,0)/12,2)</f>
        <v>0</v>
      </c>
      <c r="BI14" s="216">
        <f>ROUND(ROUNDDOWN((IF(AS$5="",0,$P4)+IF(AS$7="",0,$P6)+IF(AS$9="",0,$P8)+IF(AS$11="",0,$P10)+IF(AS$13="",0,$P12)+IF(AS$15="",0,$P14)+IF(AS$17="",0,$P16)+IF(AS$19="",0,$P18))*税率・条件!$C$14/100,0)/12,2)</f>
        <v>0</v>
      </c>
      <c r="BJ14" s="216">
        <f>ROUND(ROUNDDOWN((IF(AT$5="",0,$P4)+IF(AT$7="",0,$P6)+IF(AT$9="",0,$P8)+IF(AT$11="",0,$P10)+IF(AT$13="",0,$P12)+IF(AT$15="",0,$P14)+IF(AT$17="",0,$P16)+IF(AT$19="",0,$P18))*税率・条件!$C$14/100,0)/12,2)</f>
        <v>0</v>
      </c>
      <c r="BK14" s="216">
        <f>ROUND(ROUNDDOWN((IF(AU$5="",0,$P4)+IF(AU$7="",0,$P6)+IF(AU$9="",0,$P8)+IF(AU$11="",0,$P10)+IF(AU$13="",0,$P12)+IF(AU$15="",0,$P14)+IF(AU$17="",0,$P16)+IF(AU$19="",0,$P18))*税率・条件!$C$14/100,0)/12,2)</f>
        <v>0</v>
      </c>
      <c r="BL14" s="216">
        <f>ROUND(ROUNDDOWN((IF(AV$5="",0,$P4)+IF(AV$7="",0,$P6)+IF(AV$9="",0,$P8)+IF(AV$11="",0,$P10)+IF(AV$13="",0,$P12)+IF(AV$15="",0,$P14)+IF(AV$17="",0,$P16)+IF(AV$19="",0,$P18))*税率・条件!$C$14/100,0)/12,2)</f>
        <v>0</v>
      </c>
      <c r="BM14" s="216">
        <f>ROUND(ROUNDDOWN((IF(AW$5="",0,$P4)+IF(AW$7="",0,$P6)+IF(AW$9="",0,$P8)+IF(AW$11="",0,$P10)+IF(AW$13="",0,$P12)+IF(AW$15="",0,$P14)+IF(AW$17="",0,$P16)+IF(AW$19="",0,$P18))*税率・条件!$C$14/100,0)/12,2)</f>
        <v>0</v>
      </c>
      <c r="BN14" s="216">
        <f>ROUND(ROUNDDOWN((IF(AX$5="",0,$P4)+IF(AX$7="",0,$P6)+IF(AX$9="",0,$P8)+IF(AX$11="",0,$P10)+IF(AX$13="",0,$P12)+IF(AX$15="",0,$P14)+IF(AX$17="",0,$P16)+IF(AX$19="",0,$P18))*税率・条件!$C$14/100,0)/12,2)</f>
        <v>0</v>
      </c>
      <c r="BO14" s="216">
        <f>ROUND(ROUNDDOWN((IF(AY$5="",0,$P4)+IF(AY$7="",0,$P6)+IF(AY$9="",0,$P8)+IF(AY$11="",0,$P10)+IF(AY$13="",0,$P12)+IF(AY$15="",0,$P14)+IF(AY$17="",0,$P16)+IF(AY$19="",0,$P18))*税率・条件!$C$14/100,0)/12,2)</f>
        <v>0</v>
      </c>
      <c r="BP14" s="216">
        <f>ROUND(ROUNDDOWN((IF(AZ$5="",0,$P4)+IF(AZ$7="",0,$P6)+IF(AZ$9="",0,$P8)+IF(AZ$11="",0,$P10)+IF(AZ$13="",0,$P12)+IF(AZ$15="",0,$P14)+IF(AZ$17="",0,$P16)+IF(AZ$19="",0,$P18))*税率・条件!$C$14/100,0)/12,2)</f>
        <v>0</v>
      </c>
      <c r="BQ14" s="216">
        <f t="shared" si="0"/>
        <v>0</v>
      </c>
      <c r="BR14" s="228">
        <f t="shared" si="1"/>
        <v>0</v>
      </c>
    </row>
    <row r="15" spans="1:70" ht="18.95" customHeight="1" x14ac:dyDescent="0.15">
      <c r="A15" s="390"/>
      <c r="B15" s="392"/>
      <c r="C15" s="385"/>
      <c r="D15" s="303"/>
      <c r="E15" s="303"/>
      <c r="F15" s="303"/>
      <c r="G15" s="387"/>
      <c r="H15" s="308"/>
      <c r="I15" s="301"/>
      <c r="J15" s="303"/>
      <c r="K15" s="303"/>
      <c r="L15" s="308"/>
      <c r="M15" s="310"/>
      <c r="N15" s="301"/>
      <c r="O15" s="303"/>
      <c r="P15" s="313"/>
      <c r="Q15" s="315"/>
      <c r="R15" s="317"/>
      <c r="S15" s="319"/>
      <c r="T15" s="389"/>
      <c r="U15" s="303"/>
      <c r="V15" s="303"/>
      <c r="W15" s="394"/>
      <c r="X15" s="305"/>
      <c r="Y15" s="301"/>
      <c r="Z15" s="303"/>
      <c r="AA15" s="303"/>
      <c r="AB15" s="394"/>
      <c r="AC15" s="305"/>
      <c r="AD15" s="301"/>
      <c r="AE15" s="303"/>
      <c r="AF15" s="303"/>
      <c r="AG15" s="394"/>
      <c r="AH15" s="305"/>
      <c r="AI15" s="301"/>
      <c r="AJ15" s="303"/>
      <c r="AK15" s="303"/>
      <c r="AL15" s="394"/>
      <c r="AM15" s="305"/>
      <c r="AN15" s="189" t="str">
        <f>IF(入力!$F$21="","",COUNTIF(AO15:AZ15,"■"))</f>
        <v/>
      </c>
      <c r="AO15" s="193" t="str">
        <f>IF(入力!$F$21="","",IF(AND(入力!$F$21&gt;DATE(税率・条件!$C$1+2018-65,計算!AO$3+1,1),入力!$F$21&lt;=DATE(税率・条件!$C$1+2018-40,計算!AO$3+1,1)),IF(OR(AND(入力!L21="",OR(入力!M21="",入力!M21&gt;4,入力!M21&lt;4)),AND(入力!L21=4,OR(入力!M21="",入力!M21&gt;4,入力!M21&lt;4))),"■",""),""))</f>
        <v/>
      </c>
      <c r="AP15" s="193" t="str">
        <f>IF(入力!$F$21="","",IF(AND(入力!$F$21&gt;DATE(税率・条件!$C$1+2018-65,計算!AP$3+1,1),入力!$F$21&lt;=DATE(税率・条件!$C$1+2018-40,計算!AP$3+1,1)),IF(OR(AND(入力!L21="",OR(入力!M21="",入力!M21&gt;5,入力!M21&lt;4)),AND(入力!L21=4,OR(入力!M21="",入力!M21&gt;5,入力!M21&lt;4)),AND(入力!L21=5,OR(入力!M21="",入力!M21&gt;5,入力!M21&lt;4))),"■",""),""))</f>
        <v/>
      </c>
      <c r="AQ15" s="193" t="str">
        <f>IF(入力!$F$21="","",IF(AND(入力!$F$21&gt;DATE(税率・条件!$C$1+2018-65,計算!AQ$3+1,1),入力!$F$21&lt;=DATE(税率・条件!$C$1+2018-40,計算!AQ$3+1,1)),IF(OR(AND(入力!L21="",OR(入力!M21="",入力!M21&gt;6,入力!M21&lt;4)),AND(入力!L21=4,OR(入力!M21="",入力!M21&gt;6,入力!M21&lt;4)),AND(入力!L21=5,OR(入力!M21="",入力!M21&gt;6,入力!M21&lt;4)),AND(入力!L21=6,OR(入力!M21="",入力!M21&gt;6,入力!M21&lt;4))),"■",""),""))</f>
        <v/>
      </c>
      <c r="AR15" s="193" t="str">
        <f>IF(入力!$F$21="","",IF(AND(入力!$F$21&gt;DATE(税率・条件!$C$1+2018-65,計算!AR$3+1,1),入力!$F$21&lt;=DATE(税率・条件!$C$1+2018-40,計算!AR$3+1,1)),IF(OR(AND(入力!L21="",OR(入力!M21="",入力!M21&gt;7,入力!M21&lt;4)),AND(入力!L21=4,OR(入力!M21="",入力!M21&gt;7,入力!M21&lt;4)),AND(入力!L21=5,OR(入力!M21="",入力!M21&gt;7,入力!M21&lt;4)),AND(入力!L21=6,OR(入力!M21="",入力!M21&gt;7,入力!M21&lt;4)),AND(入力!L21=7,OR(入力!M21="",入力!M21&gt;7,入力!M21&lt;4))),"■",""),""))</f>
        <v/>
      </c>
      <c r="AS15" s="193" t="str">
        <f>IF(入力!$F$21="","",IF(AND(入力!$F$21&gt;DATE(税率・条件!$C$1+2018-65,計算!AS$3+1,1),入力!$F$21&lt;=DATE(税率・条件!$C$1+2018-40,計算!AS$3+1,1)),IF(OR(AND(入力!L21="",OR(入力!M21="",入力!M21&gt;8,入力!M21&lt;4)),AND(入力!L21=4,OR(入力!M21="",入力!M21&gt;8,入力!M21&lt;4)),AND(入力!L21=5,OR(入力!M21="",入力!M21&gt;8,入力!M21&lt;4)),AND(入力!L21=6,OR(入力!M21="",入力!M21&gt;8,入力!M21&lt;4)),AND(入力!L21=7,OR(入力!M21="",入力!M21&gt;8,入力!M21&lt;4)),AND(入力!L21=8,OR(入力!M21="",入力!M21&gt;8,入力!M21&lt;4))),"■",""),""))</f>
        <v/>
      </c>
      <c r="AT15" s="193" t="str">
        <f>IF(入力!$F$21="","",IF(AND(入力!$F$21&gt;DATE(税率・条件!$C$1+2018-65,計算!AT$3+1,1),入力!$F$21&lt;=DATE(税率・条件!$C$1+2018-40,計算!AT$3+1,1)),IF(OR(AND(入力!L21="",OR(入力!M21="",入力!M21&gt;9,入力!M21&lt;4)),AND(入力!L21=4,OR(入力!M21="",入力!M21&gt;9,入力!M21&lt;4)),AND(入力!L21=5,OR(入力!M21="",入力!M21&gt;9,入力!M21&lt;4)),AND(入力!L21=6,OR(入力!M21="",入力!M21&gt;9,入力!M21&lt;4)),AND(入力!L21=7,OR(入力!M21="",入力!M21&gt;9,入力!M21&lt;4)),AND(入力!L21=8,OR(入力!M21="",入力!M21&gt;9,入力!M21&lt;4)),AND(入力!L21=9,OR(入力!M21="",入力!M21&gt;9,入力!M21&lt;4))),"■",""),""))</f>
        <v/>
      </c>
      <c r="AU15" s="193" t="str">
        <f>IF(入力!$F$21="","",IF(AND(入力!$F$21&gt;DATE(税率・条件!$C$1+2018-65,計算!AU$3+1,1),入力!$F$21&lt;=DATE(税率・条件!$C$1+2018-40,計算!AU$3+1,1)),IF(OR(AND(入力!L21="",OR(入力!M21="",入力!M21&gt;10,入力!M21&lt;4)),AND(入力!L21=4,OR(入力!M21="",入力!M21&gt;10,入力!M21&lt;4)),AND(入力!L21=5,OR(入力!M21="",入力!M21&gt;10,入力!M21&lt;4)),AND(入力!L21=6,OR(入力!M21="",入力!M21&gt;10,入力!M21&lt;4)),AND(入力!L21=7,OR(入力!M21="",入力!M21&gt;10,入力!M21&lt;4)),AND(入力!L21=8,OR(入力!M21="",入力!M21&gt;10,入力!M21&lt;4)),AND(入力!L21=9,OR(入力!M21="",入力!M21&gt;10,入力!M21&lt;4)),AND(入力!L21=10,OR(入力!M21="",入力!M21&gt;10,入力!M21&lt;4))),"■",""),""))</f>
        <v/>
      </c>
      <c r="AV15" s="193" t="str">
        <f>IF(入力!$F$21="","",IF(AND(入力!$F$21&gt;DATE(税率・条件!$C$1+2018-65,計算!AV$3+1,1),入力!$F$21&lt;=DATE(税率・条件!$C$1+2018-40,計算!AV$3+1,1)),IF(OR(AND(入力!L21="",OR(入力!M21="",入力!M21&gt;11,入力!M21&lt;4)),AND(入力!L21=4,OR(入力!M21="",入力!M21&gt;11,入力!M21&lt;4)),AND(入力!L21=5,OR(入力!M21="",入力!M21&gt;11,入力!M21&lt;4)),AND(入力!L21=6,OR(入力!M21="",入力!M21&gt;11,入力!M21&lt;4)),AND(入力!L21=7,OR(入力!M21="",入力!M21&gt;11,入力!M21&lt;4)),AND(入力!L21=8,OR(入力!M21="",入力!M21&gt;11,入力!M21&lt;4)),AND(入力!L21=9,OR(入力!M21="",入力!M21&gt;11,入力!M21&lt;4)),AND(入力!L21=10,OR(入力!M21="",入力!M21&gt;11,入力!M21&lt;4)),AND(入力!L21=11,OR(入力!M21="",入力!M21&gt;11,入力!M21&lt;4))),"■",""),""))</f>
        <v/>
      </c>
      <c r="AW15" s="193" t="str">
        <f>IF(入力!$F$21="","",IF(AND(入力!$F$21&gt;DATE(税率・条件!$C$1+2018-65,計算!AW$3+1,1),入力!$F$21&lt;=DATE(税率・条件!$C$1+2018-40,計算!AW$3+1,1)),IF(OR(AND(入力!L21="",OR(入力!M21="",入力!M21&gt;12,入力!M21&lt;4)),AND(入力!L21=4,OR(入力!M21="",入力!M21&gt;12,入力!M21&lt;4)),AND(入力!L21=5,OR(入力!M21="",入力!M21&gt;12,入力!M21&lt;4)),AND(入力!L21=6,OR(入力!M21="",入力!M21&gt;12,入力!M21&lt;4)),AND(入力!L21=7,OR(入力!M21="",入力!M21&gt;12,入力!M21&lt;4)),AND(入力!L21=8,OR(入力!M21="",入力!M21&gt;12,入力!M21&lt;4)),AND(入力!L21=9,OR(入力!M21="",入力!M21&gt;12,入力!M21&lt;4)),AND(入力!L21=10,OR(入力!M21="",入力!M21&gt;12,入力!M21&lt;4)),AND(入力!L21=11,OR(入力!M21="",入力!M21&gt;12,入力!M21&lt;4)),AND(入力!L21=12,OR(入力!M21="",入力!M21&gt;12,入力!M21&lt;4))),"■",""),""))</f>
        <v/>
      </c>
      <c r="AX15" s="193" t="str">
        <f>IF(入力!$F$21="","",IF(AND(入力!$F$21&gt;DATE(税率・条件!$C$1+2019-65,計算!AX$3+1,1),入力!$F$21&lt;=DATE(税率・条件!$C$1+2019-40,計算!AX$3+1,1)),IF(OR(AND(入力!L21="",OR(入力!M21="",入力!M21=2,入力!M21=3)),AND(入力!L21=4,OR(入力!M21="",入力!M21=2,入力!M21=3)),AND(入力!L21=5,OR(入力!M21="",入力!M21=2,入力!M21=3)),AND(入力!L21=6,OR(入力!M21="",入力!M21=2,入力!M21=3)),AND(入力!L21=7,OR(入力!M21="",入力!M21=2,入力!M21=3)),AND(入力!L21=8,OR(入力!M21="",入力!M21=2,入力!M21=3)),AND(入力!L21=9,OR(入力!M21="",入力!M21=2,入力!M21=3)),AND(入力!L21=10,OR(入力!M21="",入力!M21=2,入力!M21=3)),AND(入力!L21=11,OR(入力!M21="",入力!M21=2,入力!M21=3)),AND(入力!L21=12,OR(入力!M21="",入力!M21=2,入力!M21=3)),AND(入力!L21=1,OR(入力!M21="",入力!M21=2,入力!M21=3))),"■",""),""))</f>
        <v/>
      </c>
      <c r="AY15" s="193" t="str">
        <f>IF(入力!$F$21="","",IF(AND(入力!$F$21&gt;DATE(税率・条件!$C$1+2019-65,計算!AY$3+1,1),入力!$F$21&lt;=DATE(税率・条件!$C$1+2019-40,計算!AY$3+1,1)),IF(OR(AND(入力!L21="",OR(入力!M21="",入力!M21=3)),AND(入力!L21=4,OR(入力!M21="",入力!M21=3)),AND(入力!L21=5,OR(入力!M21="",入力!M21=3)),AND(入力!L21=6,OR(入力!M21="",入力!M21=3)),AND(入力!L21=7,OR(入力!M21="",入力!M21=3)),AND(入力!L21=8,OR(入力!M21="",入力!M21=3)),AND(入力!L21=9,OR(入力!M21="",入力!M21=3)),AND(入力!L21=10,OR(入力!M21="",入力!M21=3)),AND(入力!L21=11,OR(入力!M21="",入力!M21=3)),AND(入力!L21=12,OR(入力!M21="",入力!M21=3)),AND(入力!L21=1,OR(入力!M21="",入力!M21=3)),AND(入力!L21=2,OR(入力!M21="",入力!M21=3))),"■",""),""))</f>
        <v/>
      </c>
      <c r="AZ15" s="200" t="str">
        <f>IF(入力!$F$21="","",IF(AND(入力!$F$21&gt;DATE(税率・条件!$C$1+2019-65,計算!AZ$3+1,1),入力!$F$21&lt;=DATE(税率・条件!$C$1+2019-40,計算!AZ$3+1,1)),IF(OR(AND(入力!L21="",入力!M21=""),AND(入力!L21=4,入力!M21=""),AND(入力!L21=5,入力!M21=""),AND(入力!L21=6,入力!M21=""),AND(入力!L21=7,入力!M21=""),AND(入力!L21=8,入力!M21=""),AND(入力!L21=9,入力!M21=""),AND(入力!L21=10,入力!M21=""),AND(入力!L21=11,入力!M21=""),AND(入力!L21=12,入力!M21=""),AND(入力!L21=1,入力!M21=""),AND(入力!L21=2,入力!M21=""),AND(入力!L21=3,入力!M21="")),"■",""),""))</f>
        <v/>
      </c>
      <c r="BD15" s="210" t="s">
        <v>180</v>
      </c>
      <c r="BE15" s="219">
        <f>ROUND(ROUNDDOWN((IF(AO$5="",0,入力!$J$16)+IF(AO$7="",0,入力!$J$17)+IF(AO$9="",0,入力!$J$18)+IF(AO$11="",0,入力!$J$19)+IF(AO$13="",0,入力!$J$20)+IF(AO$15="",0,入力!$J$21)+IF(AO$17="",0,入力!$J$22)+IF(AO$19="",0,入力!$J$23))*税率・条件!$C$15/100,0)/12,2)</f>
        <v>0</v>
      </c>
      <c r="BF15" s="219">
        <f>ROUND(ROUNDDOWN((IF(AP$5="",0,入力!$J$16)+IF(AP$7="",0,入力!$J$17)+IF(AP$9="",0,入力!$J$18)+IF(AP$11="",0,入力!$J$19)+IF(AP$13="",0,入力!$J$20)+IF(AP$15="",0,入力!$J$21)+IF(AP$17="",0,入力!$J$22)+IF(AP$19="",0,入力!$J$23))*税率・条件!$C$15/100,0)/12,2)</f>
        <v>0</v>
      </c>
      <c r="BG15" s="219">
        <f>ROUND(ROUNDDOWN((IF(AQ$5="",0,入力!$J$16)+IF(AQ$7="",0,入力!$J$17)+IF(AQ$9="",0,入力!$J$18)+IF(AQ$11="",0,入力!$J$19)+IF(AQ$13="",0,入力!$J$20)+IF(AQ$15="",0,入力!$J$21)+IF(AQ$17="",0,入力!$J$22)+IF(AQ$19="",0,入力!$J$23))*税率・条件!$C$15/100,0)/12,2)</f>
        <v>0</v>
      </c>
      <c r="BH15" s="219">
        <f>ROUND(ROUNDDOWN((IF(AR$5="",0,入力!$J$16)+IF(AR$7="",0,入力!$J$17)+IF(AR$9="",0,入力!$J$18)+IF(AR$11="",0,入力!$J$19)+IF(AR$13="",0,入力!$J$20)+IF(AR$15="",0,入力!$J$21)+IF(AR$17="",0,入力!$J$22)+IF(AR$19="",0,入力!$J$23))*税率・条件!$C$15/100,0)/12,2)</f>
        <v>0</v>
      </c>
      <c r="BI15" s="219">
        <f>ROUND(ROUNDDOWN((IF(AS$5="",0,入力!$J$16)+IF(AS$7="",0,入力!$J$17)+IF(AS$9="",0,入力!$J$18)+IF(AS$11="",0,入力!$J$19)+IF(AS$13="",0,入力!$J$20)+IF(AS$15="",0,入力!$J$21)+IF(AS$17="",0,入力!$J$22)+IF(AS$19="",0,入力!$J$23))*税率・条件!$C$15/100,0)/12,2)</f>
        <v>0</v>
      </c>
      <c r="BJ15" s="219">
        <f>ROUND(ROUNDDOWN((IF(AT$5="",0,入力!$J$16)+IF(AT$7="",0,入力!$J$17)+IF(AT$9="",0,入力!$J$18)+IF(AT$11="",0,入力!$J$19)+IF(AT$13="",0,入力!$J$20)+IF(AT$15="",0,入力!$J$21)+IF(AT$17="",0,入力!$J$22)+IF(AT$19="",0,入力!$J$23))*税率・条件!$C$15/100,0)/12,2)</f>
        <v>0</v>
      </c>
      <c r="BK15" s="219">
        <f>ROUND(ROUNDDOWN((IF(AU$5="",0,入力!$J$16)+IF(AU$7="",0,入力!$J$17)+IF(AU$9="",0,入力!$J$18)+IF(AU$11="",0,入力!$J$19)+IF(AU$13="",0,入力!$J$20)+IF(AU$15="",0,入力!$J$21)+IF(AU$17="",0,入力!$J$22)+IF(AU$19="",0,入力!$J$23))*税率・条件!$C$15/100,0)/12,2)</f>
        <v>0</v>
      </c>
      <c r="BL15" s="219">
        <f>ROUND(ROUNDDOWN((IF(AV$5="",0,入力!$J$16)+IF(AV$7="",0,入力!$J$17)+IF(AV$9="",0,入力!$J$18)+IF(AV$11="",0,入力!$J$19)+IF(AV$13="",0,入力!$J$20)+IF(AV$15="",0,入力!$J$21)+IF(AV$17="",0,入力!$J$22)+IF(AV$19="",0,入力!$J$23))*税率・条件!$C$15/100,0)/12,2)</f>
        <v>0</v>
      </c>
      <c r="BM15" s="219">
        <f>ROUND(ROUNDDOWN((IF(AW$5="",0,入力!$J$16)+IF(AW$7="",0,入力!$J$17)+IF(AW$9="",0,入力!$J$18)+IF(AW$11="",0,入力!$J$19)+IF(AW$13="",0,入力!$J$20)+IF(AW$15="",0,入力!$J$21)+IF(AW$17="",0,入力!$J$22)+IF(AW$19="",0,入力!$J$23))*税率・条件!$C$15/100,0)/12,2)</f>
        <v>0</v>
      </c>
      <c r="BN15" s="219">
        <f>ROUND(ROUNDDOWN((IF(AX$5="",0,入力!$J$16)+IF(AX$7="",0,入力!$J$17)+IF(AX$9="",0,入力!$J$18)+IF(AX$11="",0,入力!$J$19)+IF(AX$13="",0,入力!$J$20)+IF(AX$15="",0,入力!$J$21)+IF(AX$17="",0,入力!$J$22)+IF(AX$19="",0,入力!$J$23))*税率・条件!$C$15/100,0)/12,2)</f>
        <v>0</v>
      </c>
      <c r="BO15" s="219">
        <f>ROUND(ROUNDDOWN((IF(AY$5="",0,入力!$J$16)+IF(AY$7="",0,入力!$J$17)+IF(AY$9="",0,入力!$J$18)+IF(AY$11="",0,入力!$J$19)+IF(AY$13="",0,入力!$J$20)+IF(AY$15="",0,入力!$J$21)+IF(AY$17="",0,入力!$J$22)+IF(AY$19="",0,入力!$J$23))*税率・条件!$C$15/100,0)/12,2)</f>
        <v>0</v>
      </c>
      <c r="BP15" s="219">
        <f>ROUND(ROUNDDOWN((IF(AZ$5="",0,入力!$J$16)+IF(AZ$7="",0,入力!$J$17)+IF(AZ$9="",0,入力!$J$18)+IF(AZ$11="",0,入力!$J$19)+IF(AZ$13="",0,入力!$J$20)+IF(AZ$15="",0,入力!$J$21)+IF(AZ$17="",0,入力!$J$22)+IF(AZ$19="",0,入力!$J$23))*税率・条件!$C$15/100,0)/12,2)</f>
        <v>0</v>
      </c>
      <c r="BQ15" s="221">
        <f t="shared" si="0"/>
        <v>0</v>
      </c>
      <c r="BR15" s="229">
        <f t="shared" si="1"/>
        <v>0</v>
      </c>
    </row>
    <row r="16" spans="1:70" ht="18.95" customHeight="1" x14ac:dyDescent="0.15">
      <c r="A16" s="381" t="str">
        <f>入力!E22</f>
        <v>７</v>
      </c>
      <c r="B16" s="391" t="str">
        <f>IF(入力!F22="","",IF(入力!F22&lt;=DATE(税率・条件!C1+1953,1,1),"65歳以上",IF(入力!F22&gt;DATE(税率・条件!C1+2012,4,1),"未就学",IF(入力!F22&gt;DATE(税率・条件!C1+2000,4,1),"18歳未満","一般"))))</f>
        <v/>
      </c>
      <c r="C16" s="384" t="str">
        <f>IF(D16="","",IF(入力!K22="該 当","該当","非該当"))</f>
        <v/>
      </c>
      <c r="D16" s="306" t="str">
        <f>IF(入力!G22="","",ROUNDDOWN(VLOOKUP(入力!G22,$B$24:$J$30,8,1)*IF(入力!K22="該 当",0.3,1),0))</f>
        <v/>
      </c>
      <c r="E16" s="306" t="str">
        <f>IF(D16="","",IF(OR(D16="",K16=""),0,IF(D16+K16&lt;100000,0,IF(D16&lt;100000,D16,100000)+IF(K16&lt;100000,K16,100000)-100000)))</f>
        <v/>
      </c>
      <c r="F16" s="306" t="str">
        <f>IF(D16="","",D16-E16)</f>
        <v/>
      </c>
      <c r="G16" s="386" t="str">
        <f>IF(D16="","",IF(OR(D16="",L16=""),0,IF(D16+L16&lt;100000,0,IF(D16&lt;100000,D16,100000)+IF(L16&lt;100000,L16,100000)-100000)))</f>
        <v/>
      </c>
      <c r="H16" s="307" t="str">
        <f>IF(D16="","",D16-G16)</f>
        <v/>
      </c>
      <c r="I16" s="311" t="str">
        <f>IF(入力!H22="","",IF(B16="65歳以上",VLOOKUP(入力!H22,$B$43:$D$47,2,1),VLOOKUP(入力!H22,$B$35:$D$39,2,1)))</f>
        <v/>
      </c>
      <c r="J16" s="306" t="str">
        <f>IF(I16="","",IF(B16="65歳以上",VLOOKUP(入力!H22,$B$43:$D$47,3,1),VLOOKUP(入力!H22,$B$35:$D$39,3,1)))</f>
        <v/>
      </c>
      <c r="K16" s="306" t="str">
        <f>IF(I16="","",IF(入力!H22*計算!I16/100-計算!J16&lt;0,0,ROUNDDOWN(入力!H22*計算!I16/100-計算!J16,0)))</f>
        <v/>
      </c>
      <c r="L16" s="307" t="str">
        <f>IF(K16="","",IF(B16="65歳以上",IF(K16&lt;税率・条件!$G$9,0,K16-税率・条件!$G$9),K16))</f>
        <v/>
      </c>
      <c r="M16" s="309" t="str">
        <f>IF(入力!I22="","",入力!I22)</f>
        <v/>
      </c>
      <c r="N16" s="311" t="str">
        <f>IF(入力!F22="","",SUM(F16,K16,M16))</f>
        <v/>
      </c>
      <c r="O16" s="306" t="str">
        <f>IF(入力!P22&lt;&gt;"",IF(計算!N16-430000&gt;0,計算!N16-430000,0),"")</f>
        <v/>
      </c>
      <c r="P16" s="312" t="str">
        <f>IF(入力!Q22&lt;&gt;"",IF(計算!N16-430000&gt;0,計算!N16-430000,0),"")</f>
        <v/>
      </c>
      <c r="Q16" s="314" t="str">
        <f>IF(N16="","",IF(BB16&lt;&gt;BB20,"",SUM(H16,L16,M16)))</f>
        <v/>
      </c>
      <c r="R16" s="316" t="str">
        <f>IF(AND(D16="",K16=""),"",IF(BB16&lt;&gt;BB20,"",IF(OR(入力!G22&gt;税率・条件!K5,AND(B16="65歳以上",入力!H22&gt;税率・条件!K7),AND(B16&lt;&gt;"65歳以上",入力!H22&gt;税率・条件!K6)),1,"")))</f>
        <v/>
      </c>
      <c r="S16" s="318" t="str">
        <f>IF(N16="","",IF(AND(入力!$H$25&lt;&gt;"",入力!$C$19="全員申告済み",$BB$16=$BB$20),"該当",""))</f>
        <v/>
      </c>
      <c r="T16" s="388" t="str">
        <f>IF($O16="","",ROUNDDOWN($O16*税率・条件!$C$4/100,0))</f>
        <v/>
      </c>
      <c r="U16" s="302" t="str">
        <f>IF(入力!$P22="","",ROUNDDOWN(入力!$J22*税率・条件!$C$5/100,0))</f>
        <v/>
      </c>
      <c r="V16" s="302" t="str">
        <f>IF(入力!$P22="","",ROUNDDOWN(税率・条件!$C$6*(100%-IF(B16="未就学",税率・条件!$H$11,0%))*(100%-$M$34),0))</f>
        <v/>
      </c>
      <c r="W16" s="393"/>
      <c r="X16" s="304" t="str">
        <f>IF(SUM(T16:W16)&gt;0,SUM(T16:W16),"")</f>
        <v/>
      </c>
      <c r="Y16" s="300" t="str">
        <f>IF($O16="","",ROUNDDOWN($O16*税率・条件!$C$9/100,0))</f>
        <v/>
      </c>
      <c r="Z16" s="302" t="str">
        <f>IF(入力!$P22="","",ROUNDDOWN(入力!$J22*税率・条件!$C$10/100,0))</f>
        <v/>
      </c>
      <c r="AA16" s="302" t="str">
        <f>IF(入力!$P22="","",ROUNDDOWN(税率・条件!$C$11*(100%-IF(B16="未就学",税率・条件!$H$11,0%))*(100%-$M$34),0))</f>
        <v/>
      </c>
      <c r="AB16" s="393"/>
      <c r="AC16" s="304" t="str">
        <f>IF(SUM(Y16:AB16)&gt;0,SUM(Y16:AB16),"")</f>
        <v/>
      </c>
      <c r="AD16" s="300" t="str">
        <f>IF($P16="","",ROUNDDOWN($P16*税率・条件!$C$14/100,0))</f>
        <v/>
      </c>
      <c r="AE16" s="302" t="str">
        <f>IF(入力!$Q22="","",ROUNDDOWN(入力!$J22*税率・条件!$C$15/100,0))</f>
        <v/>
      </c>
      <c r="AF16" s="302" t="str">
        <f>IF(入力!$Q22="","",ROUNDDOWN(税率・条件!$C$16*(100%-$M$34),0))</f>
        <v/>
      </c>
      <c r="AG16" s="393"/>
      <c r="AH16" s="304" t="str">
        <f>IF(SUM(AD16:AG16)&gt;0,SUM(AD16:AG16),"")</f>
        <v/>
      </c>
      <c r="AI16" s="300" t="str">
        <f>IF($O16="","",ROUNDDOWN($O16*税率・条件!$C$19/100,0))</f>
        <v/>
      </c>
      <c r="AJ16" s="302" t="str">
        <f>IF(入力!$P22="","",ROUNDDOWN(入力!$J22*税率・条件!$C$20/100,0))</f>
        <v/>
      </c>
      <c r="AK16" s="302" t="str">
        <f>IF(入力!$P22="","",ROUNDDOWN(IF(OR(B16="18歳未満",B16="未就学"),0,税率・条件!$C$21)*(100%-$M$34),0))</f>
        <v/>
      </c>
      <c r="AL16" s="393"/>
      <c r="AM16" s="304" t="str">
        <f>IF(SUM(AI16:AL16)&gt;0,SUM(AI16:AL16),"")</f>
        <v/>
      </c>
      <c r="AN16" s="188" t="str">
        <f>IF(入力!$F$22="","",COUNTIF(AO16:AZ16,"●")+COUNTIF(AO16:AZ16,"▲"))</f>
        <v/>
      </c>
      <c r="AO16" s="192" t="str">
        <f>IF(入力!$F$22="","",IF(入力!$F$22&gt;=DATE(税率・条件!$C$1+2018,計算!AO$3+1,1),"",IF(入力!$F$22&gt;=DATE(税率・条件!$C$1+2018-75,計算!AO$3+1,1),IF(OR(AND(入力!L22="",OR(入力!M22="",入力!M22&gt;4,入力!M22&lt;4)),AND(入力!L22=4,OR(入力!M22="",入力!M22&gt;4,入力!M22&lt;4))),IF(OR(B16="未就学",B16="18歳未満"),"▲","●"),""),"")))</f>
        <v/>
      </c>
      <c r="AP16" s="192" t="str">
        <f>IF(入力!$F$22="","",IF(入力!$F$22&gt;=DATE(税率・条件!$C$1+2018,計算!AP$3+1,1),"",IF(入力!$F$22&gt;=DATE(税率・条件!$C$1+2018-75,計算!AP$3+1,1),IF(OR(AND(入力!L22="",OR(入力!M22="",入力!M22&gt;5,入力!M22&lt;4)),AND(入力!L22=4,OR(入力!M22="",入力!M22&gt;5,入力!M22&lt;4)),AND(入力!L22=5,OR(入力!M22="",入力!M22&gt;5,入力!M22&lt;4))),IF(OR(B16="未就学",B16="18歳未満"),"▲","●"),""),"")))</f>
        <v/>
      </c>
      <c r="AQ16" s="192" t="str">
        <f>IF(入力!$F$22="","",IF(入力!$F$22&gt;=DATE(税率・条件!$C$1+2018,計算!AQ$3+1,1),"",IF(入力!$F$22&gt;=DATE(税率・条件!$C$1+2018-75,計算!AQ$3+1,1),IF(OR(AND(入力!L22="",OR(入力!M22="",入力!M22&gt;6,入力!M22&lt;4)),AND(入力!L22=4,OR(入力!M22="",入力!M22&gt;6,入力!M22&lt;4)),AND(入力!L22=5,OR(入力!M22="",入力!M22&gt;6,入力!M22&lt;4)),AND(入力!L22=6,OR(入力!M22="",入力!M22&gt;6,入力!M22&lt;4))),IF(OR(B16="未就学",B16="18歳未満"),"▲","●"),""),"")))</f>
        <v/>
      </c>
      <c r="AR16" s="192" t="str">
        <f>IF(入力!$F$22="","",IF(入力!$F$22&gt;=DATE(税率・条件!$C$1+2018,計算!AR$3+1,1),"",IF(入力!$F$22&gt;=DATE(税率・条件!$C$1+2018-75,計算!AR$3+1,1),IF(OR(AND(入力!L22="",OR(入力!M22="",入力!M22&gt;7,入力!M22&lt;4)),AND(入力!L22=4,OR(入力!M22="",入力!M22&gt;7,入力!M22&lt;4)),AND(入力!L22=5,OR(入力!M22="",入力!M22&gt;7,入力!M22&lt;4)),AND(入力!L22=6,OR(入力!M22="",入力!M22&gt;7,入力!M22&lt;4)),AND(入力!L22=7,OR(入力!M22="",入力!M22&gt;7,入力!M22&lt;4))),IF(OR(B16="未就学",B16="18歳未満"),"▲","●"),""),"")))</f>
        <v/>
      </c>
      <c r="AS16" s="192" t="str">
        <f>IF(入力!$F$22="","",IF(入力!$F$22&gt;=DATE(税率・条件!$C$1+2018,計算!AS$3+1,1),"",IF(入力!$F$22&gt;=DATE(税率・条件!$C$1+2018-75,計算!AS$3+1,1),IF(OR(AND(入力!L22="",OR(入力!M22="",入力!M22&gt;8,入力!M22&lt;4)),AND(入力!L22=4,OR(入力!M22="",入力!M22&gt;8,入力!M22&lt;4)),AND(入力!L22=5,OR(入力!M22="",入力!M22&gt;8,入力!M22&lt;4)),AND(入力!L22=6,OR(入力!M22="",入力!M22&gt;8,入力!M22&lt;4)),AND(入力!L22=7,OR(入力!M22="",入力!M22&gt;8,入力!M22&lt;4)),AND(入力!L22=8,OR(入力!M22="",入力!M22&gt;8,入力!M22&lt;4))),IF(OR(B16="未就学",B16="18歳未満"),"▲","●"),""),"")))</f>
        <v/>
      </c>
      <c r="AT16" s="192" t="str">
        <f>IF(入力!$F$22="","",IF(入力!$F$22&gt;=DATE(税率・条件!$C$1+2018,計算!AT$3+1,1),"",IF(入力!$F$22&gt;=DATE(税率・条件!$C$1+2018-75,計算!AT$3+1,1),IF(OR(AND(入力!L22="",OR(入力!M22="",入力!M22&gt;9,入力!M22&lt;4)),AND(入力!L22=4,OR(入力!M22="",入力!M22&gt;9,入力!M22&lt;4)),AND(入力!L22=5,OR(入力!M22="",入力!M22&gt;9,入力!M22&lt;4)),AND(入力!L22=6,OR(入力!M22="",入力!M22&gt;9,入力!M22&lt;4)),AND(入力!L22=7,OR(入力!M22="",入力!M22&gt;9,入力!M22&lt;4)),AND(入力!L22=8,OR(入力!M22="",入力!M22&gt;9,入力!M22&lt;4)),AND(入力!L22=9,OR(入力!M22="",入力!M22&gt;9,入力!M22&lt;4))),IF(OR(B16="未就学",B16="18歳未満"),"▲","●"),""),"")))</f>
        <v/>
      </c>
      <c r="AU16" s="192" t="str">
        <f>IF(入力!$F$22="","",IF(入力!$F$22&gt;=DATE(税率・条件!$C$1+2018,計算!AU$3+1,1),"",IF(入力!$F$22&gt;=DATE(税率・条件!$C$1+2018-75,計算!AU$3+1,1),IF(OR(AND(入力!L22="",OR(入力!M22="",入力!M22&gt;10,入力!M22&lt;4)),AND(入力!L22=4,OR(入力!M22="",入力!M22&gt;10,入力!M22&lt;4)),AND(入力!L22=5,OR(入力!M22="",入力!M22&gt;10,入力!M22&lt;4)),AND(入力!L22=6,OR(入力!M22="",入力!M22&gt;10,入力!M22&lt;4)),AND(入力!L22=7,OR(入力!M22="",入力!M22&gt;10,入力!M22&lt;4)),AND(入力!L22=8,OR(入力!M22="",入力!M22&gt;10,入力!M22&lt;4)),AND(入力!L22=9,OR(入力!M22="",入力!M22&gt;10,入力!M22&lt;4)),AND(入力!L22=10,OR(入力!M22="",入力!M22&gt;10,入力!M22&lt;4))),IF(OR(B16="未就学",B16="18歳未満"),"▲","●"),""),"")))</f>
        <v/>
      </c>
      <c r="AV16" s="192" t="str">
        <f>IF(入力!$F$22="","",IF(入力!$F$22&gt;=DATE(税率・条件!$C$1+2018,計算!AV$3+1,1),"",IF(入力!$F$22&gt;=DATE(税率・条件!$C$1+2018-75,計算!AV$3+1,1),IF(OR(AND(入力!L22="",OR(入力!M22="",入力!M22&gt;11,入力!M22&lt;4)),AND(入力!L22=4,OR(入力!M22="",入力!M22&gt;11,入力!M22&lt;4)),AND(入力!L22=5,OR(入力!M22="",入力!M22&gt;11,入力!M22&lt;4)),AND(入力!L22=6,OR(入力!M22="",入力!M22&gt;11,入力!M22&lt;4)),AND(入力!L22=7,OR(入力!M22="",入力!M22&gt;11,入力!M22&lt;4)),AND(入力!L22=8,OR(入力!M22="",入力!M22&gt;11,入力!M22&lt;4)),AND(入力!L22=9,OR(入力!M22="",入力!M22&gt;11,入力!M22&lt;4)),AND(入力!L22=10,OR(入力!M22="",入力!M22&gt;11,入力!M22&lt;4)),AND(入力!L22=11,OR(入力!M22="",入力!M22&gt;11,入力!M22&lt;4))),IF(OR(B16="未就学",B16="18歳未満"),"▲","●"),""),"")))</f>
        <v/>
      </c>
      <c r="AW16" s="192" t="str">
        <f>IF(入力!$F$22="","",IF(入力!$F$22&gt;=DATE(税率・条件!$C$1+2018,計算!AW$3+1,1),"",IF(入力!$F$22&gt;=DATE(税率・条件!$C$1+2018-75,計算!AW$3+1,1),IF(OR(AND(入力!L22="",OR(入力!M22="",入力!M22&gt;12,入力!M22&lt;4)),AND(入力!L22=4,OR(入力!M22="",入力!M22&gt;12,入力!M22&lt;4)),AND(入力!L22=5,OR(入力!M22="",入力!M22&gt;12,入力!M22&lt;4)),AND(入力!L22=6,OR(入力!M22="",入力!M22&gt;12,入力!M22&lt;4)),AND(入力!L22=7,OR(入力!M22="",入力!M22&gt;12,入力!M22&lt;4)),AND(入力!L22=8,OR(入力!M22="",入力!M22&gt;12,入力!M22&lt;4)),AND(入力!L22=9,OR(入力!M22="",入力!M22&gt;12,入力!M22&lt;4)),AND(入力!L22=10,OR(入力!M22="",入力!M22&gt;12,入力!M22&lt;4)),AND(入力!L22=11,OR(入力!M22="",入力!M22&gt;12,入力!M22&lt;4)),AND(入力!L22=12,OR(入力!M22="",入力!M22&gt;12,入力!M22&lt;4))),IF(OR(B16="未就学",B16="18歳未満"),"▲","●"),""),"")))</f>
        <v/>
      </c>
      <c r="AX16" s="192" t="str">
        <f>IF(入力!$F$22="","",IF(入力!$F$22&gt;=DATE(税率・条件!$C$1+2019,計算!AX$3+1,1),"",IF(入力!$F$22&gt;=DATE(税率・条件!$C$1+2019-75,計算!AX$3+1,1),IF(OR(AND(入力!L22="",OR(入力!M22="",入力!M22=2,入力!M22=3)),AND(入力!L22=4,OR(入力!M22="",入力!M22=2,入力!M22=3)),AND(入力!L22=5,OR(入力!M22="",入力!M22=2,入力!M22=3)),AND(入力!L22=6,OR(入力!M22="",入力!M22=2,入力!M22=3)),AND(入力!L22=7,OR(入力!M22="",入力!M22=2,入力!M22=3)),AND(入力!L22=8,OR(入力!M22="",入力!M22=2,入力!M22=3)),AND(入力!L22=9,OR(入力!M22="",入力!M22=2,入力!M22=3)),AND(入力!L22=10,OR(入力!M22="",入力!M22=2,入力!M22=3)),AND(入力!L22=11,OR(入力!M22="",入力!M22=2,入力!M22=3)),AND(入力!L22=12,OR(入力!M22="",入力!M22=2,入力!M22=3)),AND(入力!L22=1,OR(入力!M22="",入力!M22=2,入力!M22=3))),IF(OR(B16="未就学",B16="18歳未満"),"▲","●"),""),"")))</f>
        <v/>
      </c>
      <c r="AY16" s="192" t="str">
        <f>IF(入力!$F$22="","",IF(入力!$F$22&gt;=DATE(税率・条件!$C$1+2019,計算!AY$3+1,1),"",IF(入力!$F$22&gt;=DATE(税率・条件!$C$1+2019-75,計算!AY$3+1,1),IF(OR(AND(入力!L22="",OR(入力!M22="",入力!M22=3)),AND(入力!L22=4,OR(入力!M22="",入力!M22=3)),AND(入力!L22=5,OR(入力!M22="",入力!M22=3)),AND(入力!L22=6,OR(入力!M22="",入力!M22=3)),AND(入力!L22=7,OR(入力!M22="",入力!M22=3)),AND(入力!L22=8,OR(入力!M22="",入力!M22=3)),AND(入力!L22=9,OR(入力!M22="",入力!M22=3)),AND(入力!L22=10,OR(入力!M22="",入力!M22=3)),AND(入力!L22=11,OR(入力!M22="",入力!M22=3)),AND(入力!L22=12,OR(入力!M22="",入力!M22=3)),AND(入力!L22=1,OR(入力!M22="",入力!M22=3)),AND(入力!L22=2,OR(入力!M22="",入力!M22=3))),IF(OR(B16="未就学",B16="18歳未満"),"▲","●"),""),"")))</f>
        <v/>
      </c>
      <c r="AZ16" s="199" t="str">
        <f>IF(入力!$F$22="","",IF(入力!$F$22&gt;=DATE(税率・条件!$C$1+2019,計算!AZ$3+1,1),"",IF(入力!$F$22&gt;=DATE(税率・条件!$C$1+2019-75,計算!AZ$3+1,1),IF(OR(AND(入力!L22="",入力!M22=""),AND(入力!L22=4,入力!M22=""),AND(入力!L22=5,入力!M22=""),AND(入力!L22=6,入力!M22=""),AND(入力!L22=7,入力!M22=""),AND(入力!L22=8,入力!M22=""),AND(入力!L22=9,入力!M22=""),AND(入力!L22=10,入力!M22=""),AND(入力!L22=11,入力!M22=""),AND(入力!L22=12,入力!M22=""),AND(入力!L22=1,入力!M22=""),AND(入力!L22=2,入力!M22=""),AND(入力!L22=3,入力!M22="")),IF(OR(B16="未就学",B16="18歳未満"),"▲","●"),""),"")))</f>
        <v/>
      </c>
      <c r="BB16" s="204" t="str">
        <f>IF(AND(AO$20=1,AO16&lt;&gt;""),4,IF(AND(AP$20=1,AP16&lt;&gt;""),5,IF(AND(AQ$20=1,AQ16&lt;&gt;""),6,IF(AND(AR$20=1,AR16&lt;&gt;""),7,IF(AND(AS$20=1,AS16&lt;&gt;""),8,IF(AND(AT$20=1,AT16&lt;&gt;""),9,IF(AND(AU$20=1,AU16&lt;&gt;""),10,IF(AND(AV$20=1,AV16&lt;&gt;""),11,IF(AND(AW$20=1,AW16&lt;&gt;""),12,IF(AND(AX$20=1,AX16&lt;&gt;""),1,IF(AND(AY$20=1,AY16&lt;&gt;""),2,IF(AND(AZ$20=1,AZ16&lt;&gt;""),3,""))))))))))))</f>
        <v/>
      </c>
      <c r="BD16" s="210" t="s">
        <v>148</v>
      </c>
      <c r="BE16" s="219">
        <f t="shared" ref="BE16:BP16" si="8">ROUND(ROUNDDOWN((IF(AO$5="",0,$AF4)+IF(AO$7="",0,$AF6)+IF(AO$9="",0,$AF8)+IF(AO$11="",0,$AF10)+IF(AO$13="",0,$AF12)+IF(AO$15="",0,$AF14)+IF(AO$17="",0,$AF16)+IF(AO$19="",0,$AF18)),0)/12,2)</f>
        <v>0</v>
      </c>
      <c r="BF16" s="219">
        <f t="shared" si="8"/>
        <v>0</v>
      </c>
      <c r="BG16" s="219">
        <f t="shared" si="8"/>
        <v>0</v>
      </c>
      <c r="BH16" s="219">
        <f t="shared" si="8"/>
        <v>0</v>
      </c>
      <c r="BI16" s="219">
        <f t="shared" si="8"/>
        <v>0</v>
      </c>
      <c r="BJ16" s="219">
        <f t="shared" si="8"/>
        <v>0</v>
      </c>
      <c r="BK16" s="219">
        <f t="shared" si="8"/>
        <v>0</v>
      </c>
      <c r="BL16" s="219">
        <f t="shared" si="8"/>
        <v>0</v>
      </c>
      <c r="BM16" s="219">
        <f t="shared" si="8"/>
        <v>0</v>
      </c>
      <c r="BN16" s="219">
        <f t="shared" si="8"/>
        <v>0</v>
      </c>
      <c r="BO16" s="219">
        <f t="shared" si="8"/>
        <v>0</v>
      </c>
      <c r="BP16" s="219">
        <f t="shared" si="8"/>
        <v>0</v>
      </c>
      <c r="BQ16" s="221">
        <f t="shared" si="0"/>
        <v>0</v>
      </c>
      <c r="BR16" s="229">
        <f t="shared" si="1"/>
        <v>0</v>
      </c>
    </row>
    <row r="17" spans="1:71" ht="18.95" customHeight="1" x14ac:dyDescent="0.15">
      <c r="A17" s="390"/>
      <c r="B17" s="392"/>
      <c r="C17" s="385"/>
      <c r="D17" s="303"/>
      <c r="E17" s="303"/>
      <c r="F17" s="303"/>
      <c r="G17" s="387"/>
      <c r="H17" s="308"/>
      <c r="I17" s="301"/>
      <c r="J17" s="303"/>
      <c r="K17" s="303"/>
      <c r="L17" s="308"/>
      <c r="M17" s="310"/>
      <c r="N17" s="301"/>
      <c r="O17" s="303"/>
      <c r="P17" s="313"/>
      <c r="Q17" s="315"/>
      <c r="R17" s="317"/>
      <c r="S17" s="319"/>
      <c r="T17" s="389"/>
      <c r="U17" s="303"/>
      <c r="V17" s="303"/>
      <c r="W17" s="394"/>
      <c r="X17" s="305"/>
      <c r="Y17" s="301"/>
      <c r="Z17" s="303"/>
      <c r="AA17" s="303"/>
      <c r="AB17" s="394"/>
      <c r="AC17" s="305"/>
      <c r="AD17" s="301"/>
      <c r="AE17" s="303"/>
      <c r="AF17" s="303"/>
      <c r="AG17" s="394"/>
      <c r="AH17" s="305"/>
      <c r="AI17" s="301"/>
      <c r="AJ17" s="303"/>
      <c r="AK17" s="303"/>
      <c r="AL17" s="394"/>
      <c r="AM17" s="305"/>
      <c r="AN17" s="189" t="str">
        <f>IF(入力!$F$22="","",COUNTIF(AO17:AZ17,"■"))</f>
        <v/>
      </c>
      <c r="AO17" s="193" t="str">
        <f>IF(入力!$F$22="","",IF(AND(入力!$F$22&gt;DATE(税率・条件!$C$1+2018-65,計算!AO$3+1,1),入力!$F$22&lt;=DATE(税率・条件!$C$1+2018-40,計算!AO$3+1,1)),IF(OR(AND(入力!L22="",OR(入力!M22="",入力!M22&gt;4,入力!M22&lt;4)),AND(入力!L22=4,OR(入力!M22="",入力!M22&gt;4,入力!M22&lt;4))),"■",""),""))</f>
        <v/>
      </c>
      <c r="AP17" s="193" t="str">
        <f>IF(入力!$F$22="","",IF(AND(入力!$F$22&gt;DATE(税率・条件!$C$1+2018-65,計算!AP$3+1,1),入力!$F$22&lt;=DATE(税率・条件!$C$1+2018-40,計算!AP$3+1,1)),IF(OR(AND(入力!L22="",OR(入力!M22="",入力!M22&gt;5,入力!M22&lt;4)),AND(入力!L22=4,OR(入力!M22="",入力!M22&gt;5,入力!M22&lt;4)),AND(入力!L22=5,OR(入力!M22="",入力!M22&gt;5,入力!M22&lt;4))),"■",""),""))</f>
        <v/>
      </c>
      <c r="AQ17" s="193" t="str">
        <f>IF(入力!$F$22="","",IF(AND(入力!$F$22&gt;DATE(税率・条件!$C$1+2018-65,計算!AQ$3+1,1),入力!$F$22&lt;=DATE(税率・条件!$C$1+2018-40,計算!AQ$3+1,1)),IF(OR(AND(入力!L22="",OR(入力!M22="",入力!M22&gt;6,入力!M22&lt;4)),AND(入力!L22=4,OR(入力!M22="",入力!M22&gt;6,入力!M22&lt;4)),AND(入力!L22=5,OR(入力!M22="",入力!M22&gt;6,入力!M22&lt;4)),AND(入力!L22=6,OR(入力!M22="",入力!M22&gt;6,入力!M22&lt;4))),"■",""),""))</f>
        <v/>
      </c>
      <c r="AR17" s="193" t="str">
        <f>IF(入力!$F$22="","",IF(AND(入力!$F$22&gt;DATE(税率・条件!$C$1+2018-65,計算!AR$3+1,1),入力!$F$22&lt;=DATE(税率・条件!$C$1+2018-40,計算!AR$3+1,1)),IF(OR(AND(入力!L22="",OR(入力!M22="",入力!M22&gt;7,入力!M22&lt;4)),AND(入力!L22=4,OR(入力!M22="",入力!M22&gt;7,入力!M22&lt;4)),AND(入力!L22=5,OR(入力!M22="",入力!M22&gt;7,入力!M22&lt;4)),AND(入力!L22=6,OR(入力!M22="",入力!M22&gt;7,入力!M22&lt;4)),AND(入力!L22=7,OR(入力!M22="",入力!M22&gt;7,入力!M22&lt;4))),"■",""),""))</f>
        <v/>
      </c>
      <c r="AS17" s="193" t="str">
        <f>IF(入力!$F$22="","",IF(AND(入力!$F$22&gt;DATE(税率・条件!$C$1+2018-65,計算!AS$3+1,1),入力!$F$22&lt;=DATE(税率・条件!$C$1+2018-40,計算!AS$3+1,1)),IF(OR(AND(入力!L22="",OR(入力!M22="",入力!M22&gt;8,入力!M22&lt;4)),AND(入力!L22=4,OR(入力!M22="",入力!M22&gt;8,入力!M22&lt;4)),AND(入力!L22=5,OR(入力!M22="",入力!M22&gt;8,入力!M22&lt;4)),AND(入力!L22=6,OR(入力!M22="",入力!M22&gt;8,入力!M22&lt;4)),AND(入力!L22=7,OR(入力!M22="",入力!M22&gt;8,入力!M22&lt;4)),AND(入力!L22=8,OR(入力!M22="",入力!M22&gt;8,入力!M22&lt;4))),"■",""),""))</f>
        <v/>
      </c>
      <c r="AT17" s="193" t="str">
        <f>IF(入力!$F$22="","",IF(AND(入力!$F$22&gt;DATE(税率・条件!$C$1+2018-65,計算!AT$3+1,1),入力!$F$22&lt;=DATE(税率・条件!$C$1+2018-40,計算!AT$3+1,1)),IF(OR(AND(入力!L22="",OR(入力!M22="",入力!M22&gt;9,入力!M22&lt;4)),AND(入力!L22=4,OR(入力!M22="",入力!M22&gt;9,入力!M22&lt;4)),AND(入力!L22=5,OR(入力!M22="",入力!M22&gt;9,入力!M22&lt;4)),AND(入力!L22=6,OR(入力!M22="",入力!M22&gt;9,入力!M22&lt;4)),AND(入力!L22=7,OR(入力!M22="",入力!M22&gt;9,入力!M22&lt;4)),AND(入力!L22=8,OR(入力!M22="",入力!M22&gt;9,入力!M22&lt;4)),AND(入力!L22=9,OR(入力!M22="",入力!M22&gt;9,入力!M22&lt;4))),"■",""),""))</f>
        <v/>
      </c>
      <c r="AU17" s="193" t="str">
        <f>IF(入力!$F$22="","",IF(AND(入力!$F$22&gt;DATE(税率・条件!$C$1+2018-65,計算!AU$3+1,1),入力!$F$22&lt;=DATE(税率・条件!$C$1+2018-40,計算!AU$3+1,1)),IF(OR(AND(入力!L22="",OR(入力!M22="",入力!M22&gt;10,入力!M22&lt;4)),AND(入力!L22=4,OR(入力!M22="",入力!M22&gt;10,入力!M22&lt;4)),AND(入力!L22=5,OR(入力!M22="",入力!M22&gt;10,入力!M22&lt;4)),AND(入力!L22=6,OR(入力!M22="",入力!M22&gt;10,入力!M22&lt;4)),AND(入力!L22=7,OR(入力!M22="",入力!M22&gt;10,入力!M22&lt;4)),AND(入力!L22=8,OR(入力!M22="",入力!M22&gt;10,入力!M22&lt;4)),AND(入力!L22=9,OR(入力!M22="",入力!M22&gt;10,入力!M22&lt;4)),AND(入力!L22=10,OR(入力!M22="",入力!M22&gt;10,入力!M22&lt;4))),"■",""),""))</f>
        <v/>
      </c>
      <c r="AV17" s="193" t="str">
        <f>IF(入力!$F$22="","",IF(AND(入力!$F$22&gt;DATE(税率・条件!$C$1+2018-65,計算!AV$3+1,1),入力!$F$22&lt;=DATE(税率・条件!$C$1+2018-40,計算!AV$3+1,1)),IF(OR(AND(入力!L22="",OR(入力!M22="",入力!M22&gt;11,入力!M22&lt;4)),AND(入力!L22=4,OR(入力!M22="",入力!M22&gt;11,入力!M22&lt;4)),AND(入力!L22=5,OR(入力!M22="",入力!M22&gt;11,入力!M22&lt;4)),AND(入力!L22=6,OR(入力!M22="",入力!M22&gt;11,入力!M22&lt;4)),AND(入力!L22=7,OR(入力!M22="",入力!M22&gt;11,入力!M22&lt;4)),AND(入力!L22=8,OR(入力!M22="",入力!M22&gt;11,入力!M22&lt;4)),AND(入力!L22=9,OR(入力!M22="",入力!M22&gt;11,入力!M22&lt;4)),AND(入力!L22=10,OR(入力!M22="",入力!M22&gt;11,入力!M22&lt;4)),AND(入力!L22=11,OR(入力!M22="",入力!M22&gt;11,入力!M22&lt;4))),"■",""),""))</f>
        <v/>
      </c>
      <c r="AW17" s="193" t="str">
        <f>IF(入力!$F$22="","",IF(AND(入力!$F$22&gt;DATE(税率・条件!$C$1+2018-65,計算!AW$3+1,1),入力!$F$22&lt;=DATE(税率・条件!$C$1+2018-40,計算!AW$3+1,1)),IF(OR(AND(入力!L22="",OR(入力!M22="",入力!M22&gt;12,入力!M22&lt;4)),AND(入力!L22=4,OR(入力!M22="",入力!M22&gt;12,入力!M22&lt;4)),AND(入力!L22=5,OR(入力!M22="",入力!M22&gt;12,入力!M22&lt;4)),AND(入力!L22=6,OR(入力!M22="",入力!M22&gt;12,入力!M22&lt;4)),AND(入力!L22=7,OR(入力!M22="",入力!M22&gt;12,入力!M22&lt;4)),AND(入力!L22=8,OR(入力!M22="",入力!M22&gt;12,入力!M22&lt;4)),AND(入力!L22=9,OR(入力!M22="",入力!M22&gt;12,入力!M22&lt;4)),AND(入力!L22=10,OR(入力!M22="",入力!M22&gt;12,入力!M22&lt;4)),AND(入力!L22=11,OR(入力!M22="",入力!M22&gt;12,入力!M22&lt;4)),AND(入力!L22=12,OR(入力!M22="",入力!M22&gt;12,入力!M22&lt;4))),"■",""),""))</f>
        <v/>
      </c>
      <c r="AX17" s="193" t="str">
        <f>IF(入力!$F$22="","",IF(AND(入力!$F$22&gt;DATE(税率・条件!$C$1+2019-65,計算!AX$3+1,1),入力!$F$22&lt;=DATE(税率・条件!$C$1+2019-40,計算!AX$3+1,1)),IF(OR(AND(入力!L22="",OR(入力!M22="",入力!M22=2,入力!M22=3)),AND(入力!L22=4,OR(入力!M22="",入力!M22=2,入力!M22=3)),AND(入力!L22=5,OR(入力!M22="",入力!M22=2,入力!M22=3)),AND(入力!L22=6,OR(入力!M22="",入力!M22=2,入力!M22=3)),AND(入力!L22=7,OR(入力!M22="",入力!M22=2,入力!M22=3)),AND(入力!L22=8,OR(入力!M22="",入力!M22=2,入力!M22=3)),AND(入力!L22=9,OR(入力!M22="",入力!M22=2,入力!M22=3)),AND(入力!L22=10,OR(入力!M22="",入力!M22=2,入力!M22=3)),AND(入力!L22=11,OR(入力!M22="",入力!M22=2,入力!M22=3)),AND(入力!L22=12,OR(入力!M22="",入力!M22=2,入力!M22=3)),AND(入力!L22=1,OR(入力!M22="",入力!M22=2,入力!M22=3))),"■",""),""))</f>
        <v/>
      </c>
      <c r="AY17" s="193" t="str">
        <f>IF(入力!$F$22="","",IF(AND(入力!$F$22&gt;DATE(税率・条件!$C$1+2019-65,計算!AY$3+1,1),入力!$F$22&lt;=DATE(税率・条件!$C$1+2019-40,計算!AY$3+1,1)),IF(OR(AND(入力!L22="",OR(入力!M22="",入力!M22=3)),AND(入力!L22=4,OR(入力!M22="",入力!M22=3)),AND(入力!L22=5,OR(入力!M22="",入力!M22=3)),AND(入力!L22=6,OR(入力!M22="",入力!M22=3)),AND(入力!L22=7,OR(入力!M22="",入力!M22=3)),AND(入力!L22=8,OR(入力!M22="",入力!M22=3)),AND(入力!L22=9,OR(入力!M22="",入力!M22=3)),AND(入力!L22=10,OR(入力!M22="",入力!M22=3)),AND(入力!L22=11,OR(入力!M22="",入力!M22=3)),AND(入力!L22=12,OR(入力!M22="",入力!M22=3)),AND(入力!L22=1,OR(入力!M22="",入力!M22=3)),AND(入力!L22=2,OR(入力!M22="",入力!M22=3))),"■",""),""))</f>
        <v/>
      </c>
      <c r="AZ17" s="200" t="str">
        <f>IF(入力!$F$22="","",IF(AND(入力!$F$22&gt;DATE(税率・条件!$C$1+2019-65,計算!AZ$3+1,1),入力!$F$22&lt;=DATE(税率・条件!$C$1+2019-40,計算!AZ$3+1,1)),IF(OR(AND(入力!L22="",入力!M22=""),AND(入力!L22=4,入力!M22=""),AND(入力!L22=5,入力!M22=""),AND(入力!L22=6,入力!M22=""),AND(入力!L22=7,入力!M22=""),AND(入力!L22=8,入力!M22=""),AND(入力!L22=9,入力!M22=""),AND(入力!L22=10,入力!M22=""),AND(入力!L22=11,入力!M22=""),AND(入力!L22=12,入力!M22=""),AND(入力!L22=1,入力!M22=""),AND(入力!L22=2,入力!M22=""),AND(入力!L22=3,入力!M22="")),"■",""),""))</f>
        <v/>
      </c>
      <c r="BD17" s="210" t="s">
        <v>181</v>
      </c>
      <c r="BE17" s="219">
        <f t="shared" ref="BE17:BP17" si="9">ROUND(ROUNDDOWN(IF(AO$21="",0,$AG4),0)/12,2)</f>
        <v>0</v>
      </c>
      <c r="BF17" s="219">
        <f t="shared" si="9"/>
        <v>0</v>
      </c>
      <c r="BG17" s="219">
        <f t="shared" si="9"/>
        <v>0</v>
      </c>
      <c r="BH17" s="219">
        <f t="shared" si="9"/>
        <v>0</v>
      </c>
      <c r="BI17" s="219">
        <f t="shared" si="9"/>
        <v>0</v>
      </c>
      <c r="BJ17" s="219">
        <f t="shared" si="9"/>
        <v>0</v>
      </c>
      <c r="BK17" s="219">
        <f t="shared" si="9"/>
        <v>0</v>
      </c>
      <c r="BL17" s="219">
        <f t="shared" si="9"/>
        <v>0</v>
      </c>
      <c r="BM17" s="219">
        <f t="shared" si="9"/>
        <v>0</v>
      </c>
      <c r="BN17" s="219">
        <f t="shared" si="9"/>
        <v>0</v>
      </c>
      <c r="BO17" s="219">
        <f t="shared" si="9"/>
        <v>0</v>
      </c>
      <c r="BP17" s="219">
        <f t="shared" si="9"/>
        <v>0</v>
      </c>
      <c r="BQ17" s="221">
        <f t="shared" si="0"/>
        <v>0</v>
      </c>
      <c r="BR17" s="229">
        <f t="shared" si="1"/>
        <v>0</v>
      </c>
    </row>
    <row r="18" spans="1:71" ht="18.95" customHeight="1" x14ac:dyDescent="0.15">
      <c r="A18" s="381" t="str">
        <f>入力!E23</f>
        <v>８</v>
      </c>
      <c r="B18" s="391" t="str">
        <f>IF(入力!F23="","",IF(入力!F23&lt;=DATE(税率・条件!C1+1953,1,1),"65歳以上",IF(入力!F23&gt;DATE(税率・条件!C1+2012,4,1),"未就学",IF(入力!F23&gt;DATE(税率・条件!C1+2000,4,1),"18歳未満","一般"))))</f>
        <v/>
      </c>
      <c r="C18" s="384" t="str">
        <f>IF(D18="","",IF(入力!K23="該 当","該当","非該当"))</f>
        <v/>
      </c>
      <c r="D18" s="306" t="str">
        <f>IF(入力!G23="","",ROUNDDOWN(VLOOKUP(入力!G23,$B$24:$J$30,9,1)*IF(入力!K23="該 当",0.3,1),0))</f>
        <v/>
      </c>
      <c r="E18" s="306" t="str">
        <f>IF(D18="","",IF(OR(D18="",K18=""),0,IF(D18+K18&lt;100000,0,IF(D18&lt;100000,D18,100000)+IF(K18&lt;100000,K18,100000)-100000)))</f>
        <v/>
      </c>
      <c r="F18" s="306" t="str">
        <f>IF(D18="","",D18-E18)</f>
        <v/>
      </c>
      <c r="G18" s="386" t="str">
        <f>IF(D18="","",IF(OR(D18="",L18=""),0,IF(D18+L18&lt;100000,0,IF(D18&lt;100000,D18,100000)+IF(L18&lt;100000,L18,100000)-100000)))</f>
        <v/>
      </c>
      <c r="H18" s="307" t="str">
        <f>IF(D18="","",D18-G18)</f>
        <v/>
      </c>
      <c r="I18" s="311" t="str">
        <f>IF(入力!H23="","",IF(B18="65歳以上",VLOOKUP(入力!H23,$B$43:$D$47,2,1),VLOOKUP(入力!H23,$B$35:$D$39,2,1)))</f>
        <v/>
      </c>
      <c r="J18" s="306" t="str">
        <f>IF(I18="","",IF(B18="65歳以上",VLOOKUP(入力!H23,$B$43:$D$47,3,1),VLOOKUP(入力!H23,$B$35:$D$39,3,1)))</f>
        <v/>
      </c>
      <c r="K18" s="306" t="str">
        <f>IF(I18="","",IF(入力!H23*計算!I18/100-計算!J18&lt;0,0,ROUNDDOWN(入力!H23*計算!I18/100-計算!J18,0)))</f>
        <v/>
      </c>
      <c r="L18" s="307" t="str">
        <f>IF(K18="","",IF(B18="65歳以上",IF(K18&lt;税率・条件!$G$9,0,K18-税率・条件!$G$9),K18))</f>
        <v/>
      </c>
      <c r="M18" s="309" t="str">
        <f>IF(入力!I23="","",入力!I23)</f>
        <v/>
      </c>
      <c r="N18" s="311" t="str">
        <f>IF(入力!F23="","",SUM(F18,K18,M18))</f>
        <v/>
      </c>
      <c r="O18" s="306" t="str">
        <f>IF(入力!P23&lt;&gt;"",IF(計算!N18-430000&gt;0,計算!N18-430000,0),"")</f>
        <v/>
      </c>
      <c r="P18" s="312" t="str">
        <f>IF(入力!Q23&lt;&gt;"",IF(計算!N18-430000&gt;0,計算!N18-430000,0),"")</f>
        <v/>
      </c>
      <c r="Q18" s="314" t="str">
        <f>IF(N18="","",IF(BB18&lt;&gt;BB20,"",SUM(H18,L18,M18)))</f>
        <v/>
      </c>
      <c r="R18" s="316" t="str">
        <f>IF(AND(D18="",K18=""),"",IF(BB18&lt;&gt;BB20,"",IF(OR(入力!G23&gt;税率・条件!K5,AND(B18="65歳以上",入力!H23&gt;税率・条件!K7),AND(B18&lt;&gt;"65歳以上",入力!H23&gt;税率・条件!K6)),1,"")))</f>
        <v/>
      </c>
      <c r="S18" s="318" t="str">
        <f>IF(N18="","",IF(AND(入力!$H$25&lt;&gt;"",入力!$C$19="全員申告済み",$BB$18=$BB$20),"該当",""))</f>
        <v/>
      </c>
      <c r="T18" s="388" t="str">
        <f>IF($O18="","",ROUNDDOWN($O18*税率・条件!$C$4/100,0))</f>
        <v/>
      </c>
      <c r="U18" s="302" t="str">
        <f>IF(入力!$P23="","",ROUNDDOWN(入力!$J23*税率・条件!$C$5/100,0))</f>
        <v/>
      </c>
      <c r="V18" s="302" t="str">
        <f>IF(入力!$P23="","",ROUNDDOWN(税率・条件!$C$6*(100%-IF(B18="未就学",税率・条件!$H$11,0%))*(100%-$M$34),0))</f>
        <v/>
      </c>
      <c r="W18" s="393"/>
      <c r="X18" s="304" t="str">
        <f>IF(SUM(T18:W18)&gt;0,SUM(T18:W18),"")</f>
        <v/>
      </c>
      <c r="Y18" s="300" t="str">
        <f>IF($O18="","",ROUNDDOWN($O18*税率・条件!$C$9/100,0))</f>
        <v/>
      </c>
      <c r="Z18" s="302" t="str">
        <f>IF(入力!$P23="","",ROUNDDOWN(入力!$J23*税率・条件!$C$10/100,0))</f>
        <v/>
      </c>
      <c r="AA18" s="302" t="str">
        <f>IF(入力!$P23="","",ROUNDDOWN(税率・条件!$C$11*(100%-IF(B18="未就学",税率・条件!$H$11,0%))*(100%-$M$34),0))</f>
        <v/>
      </c>
      <c r="AB18" s="393"/>
      <c r="AC18" s="304" t="str">
        <f>IF(SUM(Y18:AB18)&gt;0,SUM(Y18:AB18),"")</f>
        <v/>
      </c>
      <c r="AD18" s="300" t="str">
        <f>IF($P18="","",ROUNDDOWN($P18*税率・条件!$C$14/100,0))</f>
        <v/>
      </c>
      <c r="AE18" s="302" t="str">
        <f>IF(入力!$Q23="","",ROUNDDOWN(入力!$J23*税率・条件!$C$15/100,0))</f>
        <v/>
      </c>
      <c r="AF18" s="302" t="str">
        <f>IF(入力!$Q23="","",ROUNDDOWN(税率・条件!$C$16*(100%-$M$34),0))</f>
        <v/>
      </c>
      <c r="AG18" s="393"/>
      <c r="AH18" s="304" t="str">
        <f>IF(SUM(AD18:AG18)&gt;0,SUM(AD18:AG18),"")</f>
        <v/>
      </c>
      <c r="AI18" s="300" t="str">
        <f>IF($O18="","",ROUNDDOWN($O18*税率・条件!$C$19/100,0))</f>
        <v/>
      </c>
      <c r="AJ18" s="302" t="str">
        <f>IF(入力!$P23="","",ROUNDDOWN(入力!$J23*税率・条件!$C$20/100,0))</f>
        <v/>
      </c>
      <c r="AK18" s="302" t="str">
        <f>IF(入力!$P23="","",ROUNDDOWN(IF(OR(B18="18歳未満",B18="未就学"),0,税率・条件!$C$21)*(100%-$M$34),0))</f>
        <v/>
      </c>
      <c r="AL18" s="393"/>
      <c r="AM18" s="304" t="str">
        <f>IF(SUM(AI18:AL18)&gt;0,SUM(AI18:AL18),"")</f>
        <v/>
      </c>
      <c r="AN18" s="188" t="str">
        <f>IF(入力!$F$23="","",COUNTIF(AO18:AZ18,"●")+COUNTIF(AO18:AZ18,"▲"))</f>
        <v/>
      </c>
      <c r="AO18" s="192" t="str">
        <f>IF(入力!$F$23="","",IF(入力!$F$23&gt;=DATE(税率・条件!$C$1+2018,計算!AO$3+1,1),"",IF(入力!$F$23&gt;=DATE(税率・条件!$C$1+2018-75,計算!AO$3+1,1),IF(OR(AND(入力!L23="",OR(入力!M23="",入力!M23&gt;4,入力!M23&lt;4)),AND(入力!L23=4,OR(入力!M23="",入力!M23&gt;4,入力!M23&lt;4))),IF(OR(B18="未就学",B18="18歳未満"),"▲","●"),""),"")))</f>
        <v/>
      </c>
      <c r="AP18" s="192" t="str">
        <f>IF(入力!$F$23="","",IF(入力!$F$23&gt;=DATE(税率・条件!$C$1+2018,計算!AP$3+1,1),"",IF(入力!$F$23&gt;=DATE(税率・条件!$C$1+2018-75,計算!AP$3+1,1),IF(OR(AND(入力!L23="",OR(入力!M23="",入力!M23&gt;5,入力!M23&lt;4)),AND(入力!L23=4,OR(入力!M23="",入力!M23&gt;5,入力!M23&lt;4)),AND(入力!L23=5,OR(入力!M23="",入力!M23&gt;5,入力!M23&lt;4))),IF(OR(B18="未就学",B18="18歳未満"),"▲","●"),""),"")))</f>
        <v/>
      </c>
      <c r="AQ18" s="192" t="str">
        <f>IF(入力!$F$23="","",IF(入力!$F$23&gt;=DATE(税率・条件!$C$1+2018,計算!AQ$3+1,1),"",IF(入力!$F$23&gt;=DATE(税率・条件!$C$1+2018-75,計算!AQ$3+1,1),IF(OR(AND(入力!L23="",OR(入力!M23="",入力!M23&gt;6,入力!M23&lt;4)),AND(入力!L23=4,OR(入力!M23="",入力!M23&gt;6,入力!M23&lt;4)),AND(入力!L23=5,OR(入力!M23="",入力!M23&gt;6,入力!M23&lt;4)),AND(入力!L23=6,OR(入力!M23="",入力!M23&gt;6,入力!M23&lt;4))),IF(OR(B18="未就学",B18="18歳未満"),"▲","●"),""),"")))</f>
        <v/>
      </c>
      <c r="AR18" s="192" t="str">
        <f>IF(入力!$F$23="","",IF(入力!$F$23&gt;=DATE(税率・条件!$C$1+2018,計算!AR$3+1,1),"",IF(入力!$F$23&gt;=DATE(税率・条件!$C$1+2018-75,計算!AR$3+1,1),IF(OR(AND(入力!L23="",OR(入力!M23="",入力!M23&gt;7,入力!M23&lt;4)),AND(入力!L23=4,OR(入力!M23="",入力!M23&gt;7,入力!M23&lt;4)),AND(入力!L23=5,OR(入力!M23="",入力!M23&gt;7,入力!M23&lt;4)),AND(入力!L23=6,OR(入力!M23="",入力!M23&gt;7,入力!M23&lt;4)),AND(入力!L23=7,OR(入力!M23="",入力!M23&gt;7,入力!M23&lt;4))),IF(OR(B18="未就学",B18="18歳未満"),"▲","●"),""),"")))</f>
        <v/>
      </c>
      <c r="AS18" s="192" t="str">
        <f>IF(入力!$F$23="","",IF(入力!$F$23&gt;=DATE(税率・条件!$C$1+2018,計算!AS$3+1,1),"",IF(入力!$F$23&gt;=DATE(税率・条件!$C$1+2018-75,計算!AS$3+1,1),IF(OR(AND(入力!L23="",OR(入力!M23="",入力!M23&gt;8,入力!M23&lt;4)),AND(入力!L23=4,OR(入力!M23="",入力!M23&gt;8,入力!M23&lt;4)),AND(入力!L23=5,OR(入力!M23="",入力!M23&gt;8,入力!M23&lt;4)),AND(入力!L23=6,OR(入力!M23="",入力!M23&gt;8,入力!M23&lt;4)),AND(入力!L23=7,OR(入力!M23="",入力!M23&gt;8,入力!M23&lt;4)),AND(入力!L23=8,OR(入力!M23="",入力!M23&gt;8,入力!M23&lt;4))),IF(OR(B18="未就学",B18="18歳未満"),"▲","●"),""),"")))</f>
        <v/>
      </c>
      <c r="AT18" s="192" t="str">
        <f>IF(入力!$F$23="","",IF(入力!$F$23&gt;=DATE(税率・条件!$C$1+2018,計算!AT$3+1,1),"",IF(入力!$F$23&gt;=DATE(税率・条件!$C$1+2018-75,計算!AT$3+1,1),IF(OR(AND(入力!L23="",OR(入力!M23="",入力!M23&gt;9,入力!M23&lt;4)),AND(入力!L23=4,OR(入力!M23="",入力!M23&gt;9,入力!M23&lt;4)),AND(入力!L23=5,OR(入力!M23="",入力!M23&gt;9,入力!M23&lt;4)),AND(入力!L23=6,OR(入力!M23="",入力!M23&gt;9,入力!M23&lt;4)),AND(入力!L23=7,OR(入力!M23="",入力!M23&gt;9,入力!M23&lt;4)),AND(入力!L23=8,OR(入力!M23="",入力!M23&gt;9,入力!M23&lt;4)),AND(入力!L23=9,OR(入力!M23="",入力!M23&gt;9,入力!M23&lt;4))),IF(OR(B18="未就学",B18="18歳未満"),"▲","●"),""),"")))</f>
        <v/>
      </c>
      <c r="AU18" s="192" t="str">
        <f>IF(入力!$F$23="","",IF(入力!$F$23&gt;=DATE(税率・条件!$C$1+2018,計算!AU$3+1,1),"",IF(入力!$F$23&gt;=DATE(税率・条件!$C$1+2018-75,計算!AU$3+1,1),IF(OR(AND(入力!L23="",OR(入力!M23="",入力!M23&gt;10,入力!M23&lt;4)),AND(入力!L23=4,OR(入力!M23="",入力!M23&gt;10,入力!M23&lt;4)),AND(入力!L23=5,OR(入力!M23="",入力!M23&gt;10,入力!M23&lt;4)),AND(入力!L23=6,OR(入力!M23="",入力!M23&gt;10,入力!M23&lt;4)),AND(入力!L23=7,OR(入力!M23="",入力!M23&gt;10,入力!M23&lt;4)),AND(入力!L23=8,OR(入力!M23="",入力!M23&gt;10,入力!M23&lt;4)),AND(入力!L23=9,OR(入力!M23="",入力!M23&gt;10,入力!M23&lt;4)),AND(入力!L23=10,OR(入力!M23="",入力!M23&gt;10,入力!M23&lt;4))),IF(OR(B18="未就学",B18="18歳未満"),"▲","●"),""),"")))</f>
        <v/>
      </c>
      <c r="AV18" s="192" t="str">
        <f>IF(入力!$F$23="","",IF(入力!$F$23&gt;=DATE(税率・条件!$C$1+2018,計算!AV$3+1,1),"",IF(入力!$F$23&gt;=DATE(税率・条件!$C$1+2018-75,計算!AV$3+1,1),IF(OR(AND(入力!L23="",OR(入力!M23="",入力!M23&gt;11,入力!M23&lt;4)),AND(入力!L23=4,OR(入力!M23="",入力!M23&gt;11,入力!M23&lt;4)),AND(入力!L23=5,OR(入力!M23="",入力!M23&gt;11,入力!M23&lt;4)),AND(入力!L23=6,OR(入力!M23="",入力!M23&gt;11,入力!M23&lt;4)),AND(入力!L23=7,OR(入力!M23="",入力!M23&gt;11,入力!M23&lt;4)),AND(入力!L23=8,OR(入力!M23="",入力!M23&gt;11,入力!M23&lt;4)),AND(入力!L23=9,OR(入力!M23="",入力!M23&gt;11,入力!M23&lt;4)),AND(入力!L23=10,OR(入力!M23="",入力!M23&gt;11,入力!M23&lt;4)),AND(入力!L23=11,OR(入力!M23="",入力!M23&gt;11,入力!M23&lt;4))),IF(OR(B18="未就学",B18="18歳未満"),"▲","●"),""),"")))</f>
        <v/>
      </c>
      <c r="AW18" s="192" t="str">
        <f>IF(入力!$F$23="","",IF(入力!$F$23&gt;=DATE(税率・条件!$C$1+2018,計算!AW$3+1,1),"",IF(入力!$F$23&gt;=DATE(税率・条件!$C$1+2018-75,計算!AW$3+1,1),IF(OR(AND(入力!L23="",OR(入力!M23="",入力!M23&gt;12,入力!M23&lt;4)),AND(入力!L23=4,OR(入力!M23="",入力!M23&gt;12,入力!M23&lt;4)),AND(入力!L23=5,OR(入力!M23="",入力!M23&gt;12,入力!M23&lt;4)),AND(入力!L23=6,OR(入力!M23="",入力!M23&gt;12,入力!M23&lt;4)),AND(入力!L23=7,OR(入力!M23="",入力!M23&gt;12,入力!M23&lt;4)),AND(入力!L23=8,OR(入力!M23="",入力!M23&gt;12,入力!M23&lt;4)),AND(入力!L23=9,OR(入力!M23="",入力!M23&gt;12,入力!M23&lt;4)),AND(入力!L23=10,OR(入力!M23="",入力!M23&gt;12,入力!M23&lt;4)),AND(入力!L23=11,OR(入力!M23="",入力!M23&gt;12,入力!M23&lt;4)),AND(入力!L23=12,OR(入力!M23="",入力!M23&gt;12,入力!M23&lt;4))),IF(OR(B18="未就学",B18="18歳未満"),"▲","●"),""),"")))</f>
        <v/>
      </c>
      <c r="AX18" s="192" t="str">
        <f>IF(入力!$F$23="","",IF(入力!$F$23&gt;=DATE(税率・条件!$C$1+2019,計算!AX$3+1,1),"",IF(入力!$F$23&gt;=DATE(税率・条件!$C$1+2019-75,計算!AX$3+1,1),IF(OR(AND(入力!L23="",OR(入力!M23="",入力!M23=2,入力!M23=3)),AND(入力!L23=4,OR(入力!M23="",入力!M23=2,入力!M23=3)),AND(入力!L23=5,OR(入力!M23="",入力!M23=2,入力!M23=3)),AND(入力!L23=6,OR(入力!M23="",入力!M23=2,入力!M23=3)),AND(入力!L23=7,OR(入力!M23="",入力!M23=2,入力!M23=3)),AND(入力!L23=8,OR(入力!M23="",入力!M23=2,入力!M23=3)),AND(入力!L23=9,OR(入力!M23="",入力!M23=2,入力!M23=3)),AND(入力!L23=10,OR(入力!M23="",入力!M23=2,入力!M23=3)),AND(入力!L23=11,OR(入力!M23="",入力!M23=2,入力!M23=3)),AND(入力!L23=12,OR(入力!M23="",入力!M23=2,入力!M23=3)),AND(入力!L23=1,OR(入力!M23="",入力!M23=2,入力!M23=3))),IF(OR(B18="未就学",B18="18歳未満"),"▲","●"),""),"")))</f>
        <v/>
      </c>
      <c r="AY18" s="192" t="str">
        <f>IF(入力!$F$23="","",IF(入力!$F$23&gt;=DATE(税率・条件!$C$1+2019,計算!AY$3+1,1),"",IF(入力!$F$23&gt;=DATE(税率・条件!$C$1+2019-75,計算!AY$3+1,1),IF(OR(AND(入力!L23="",OR(入力!M23="",入力!M23=3)),AND(入力!L23=4,OR(入力!M23="",入力!M23=3)),AND(入力!L23=5,OR(入力!M23="",入力!M23=3)),AND(入力!L23=6,OR(入力!M23="",入力!M23=3)),AND(入力!L23=7,OR(入力!M23="",入力!M23=3)),AND(入力!L23=8,OR(入力!M23="",入力!M23=3)),AND(入力!L23=9,OR(入力!M23="",入力!M23=3)),AND(入力!L23=10,OR(入力!M23="",入力!M23=3)),AND(入力!L23=11,OR(入力!M23="",入力!M23=3)),AND(入力!L23=12,OR(入力!M23="",入力!M23=3)),AND(入力!L23=1,OR(入力!M23="",入力!M23=3)),AND(入力!L23=2,OR(入力!M23="",入力!M23=3))),IF(OR(B18="未就学",B18="18歳未満"),"▲","●"),""),"")))</f>
        <v/>
      </c>
      <c r="AZ18" s="199" t="str">
        <f>IF(入力!$F$23="","",IF(入力!$F$23&gt;=DATE(税率・条件!$C$1+2019,計算!AZ$3+1,1),"",IF(入力!$F$23&gt;=DATE(税率・条件!$C$1+2019-75,計算!AZ$3+1,1),IF(OR(AND(入力!L23="",入力!M23=""),AND(入力!L23=4,入力!M23=""),AND(入力!L23=5,入力!M23=""),AND(入力!L23=6,入力!M23=""),AND(入力!L23=7,入力!M23=""),AND(入力!L23=8,入力!M23=""),AND(入力!L23=9,入力!M23=""),AND(入力!L23=10,入力!M23=""),AND(入力!L23=11,入力!M23=""),AND(入力!L23=12,入力!M23=""),AND(入力!L23=1,入力!M23=""),AND(入力!L23=2,入力!M23=""),AND(入力!L23=3,入力!M23="")),IF(OR(B18="未就学",B18="18歳未満"),"▲","●"),""),"")))</f>
        <v/>
      </c>
      <c r="BB18" s="204" t="str">
        <f>IF(AND(AO$20=1,AO18&lt;&gt;""),4,IF(AND(AP$20=1,AP18&lt;&gt;""),5,IF(AND(AQ$20=1,AQ18&lt;&gt;""),6,IF(AND(AR$20=1,AR18&lt;&gt;""),7,IF(AND(AS$20=1,AS18&lt;&gt;""),8,IF(AND(AT$20=1,AT18&lt;&gt;""),9,IF(AND(AU$20=1,AU18&lt;&gt;""),10,IF(AND(AV$20=1,AV18&lt;&gt;""),11,IF(AND(AW$20=1,AW18&lt;&gt;""),12,IF(AND(AX$20=1,AX18&lt;&gt;""),1,IF(AND(AY$20=1,AY18&lt;&gt;""),2,IF(AND(AZ$20=1,AZ18&lt;&gt;""),3,""))))))))))))</f>
        <v/>
      </c>
      <c r="BD18" s="211" t="s">
        <v>185</v>
      </c>
      <c r="BE18" s="218">
        <f t="shared" ref="BE18:BP18" si="10">SUM(BE14:BE17)</f>
        <v>0</v>
      </c>
      <c r="BF18" s="218">
        <f t="shared" si="10"/>
        <v>0</v>
      </c>
      <c r="BG18" s="218">
        <f t="shared" si="10"/>
        <v>0</v>
      </c>
      <c r="BH18" s="218">
        <f t="shared" si="10"/>
        <v>0</v>
      </c>
      <c r="BI18" s="218">
        <f t="shared" si="10"/>
        <v>0</v>
      </c>
      <c r="BJ18" s="218">
        <f t="shared" si="10"/>
        <v>0</v>
      </c>
      <c r="BK18" s="218">
        <f t="shared" si="10"/>
        <v>0</v>
      </c>
      <c r="BL18" s="218">
        <f t="shared" si="10"/>
        <v>0</v>
      </c>
      <c r="BM18" s="218">
        <f t="shared" si="10"/>
        <v>0</v>
      </c>
      <c r="BN18" s="218">
        <f t="shared" si="10"/>
        <v>0</v>
      </c>
      <c r="BO18" s="218">
        <f t="shared" si="10"/>
        <v>0</v>
      </c>
      <c r="BP18" s="218">
        <f t="shared" si="10"/>
        <v>0</v>
      </c>
      <c r="BQ18" s="218">
        <f t="shared" si="0"/>
        <v>0</v>
      </c>
      <c r="BR18" s="230">
        <f t="shared" si="1"/>
        <v>0</v>
      </c>
    </row>
    <row r="19" spans="1:71" ht="18.95" customHeight="1" x14ac:dyDescent="0.15">
      <c r="A19" s="395"/>
      <c r="B19" s="396"/>
      <c r="C19" s="397"/>
      <c r="D19" s="398"/>
      <c r="E19" s="398"/>
      <c r="F19" s="398"/>
      <c r="G19" s="399"/>
      <c r="H19" s="400"/>
      <c r="I19" s="401"/>
      <c r="J19" s="398"/>
      <c r="K19" s="398"/>
      <c r="L19" s="400"/>
      <c r="M19" s="402"/>
      <c r="N19" s="401"/>
      <c r="O19" s="398"/>
      <c r="P19" s="403"/>
      <c r="Q19" s="404"/>
      <c r="R19" s="405"/>
      <c r="S19" s="406"/>
      <c r="T19" s="413"/>
      <c r="U19" s="398"/>
      <c r="V19" s="398"/>
      <c r="W19" s="408"/>
      <c r="X19" s="407"/>
      <c r="Y19" s="401"/>
      <c r="Z19" s="398"/>
      <c r="AA19" s="398"/>
      <c r="AB19" s="408"/>
      <c r="AC19" s="407"/>
      <c r="AD19" s="401"/>
      <c r="AE19" s="398"/>
      <c r="AF19" s="398"/>
      <c r="AG19" s="408"/>
      <c r="AH19" s="407"/>
      <c r="AI19" s="401"/>
      <c r="AJ19" s="398"/>
      <c r="AK19" s="398"/>
      <c r="AL19" s="408"/>
      <c r="AM19" s="407"/>
      <c r="AN19" s="190" t="str">
        <f>IF(入力!$F$23="","",COUNTIF(AO19:AZ19,"■"))</f>
        <v/>
      </c>
      <c r="AO19" s="194" t="str">
        <f>IF(入力!$F$23="","",IF(AND(入力!$F$23&gt;DATE(税率・条件!$C$1+2018-65,計算!AO$3+1,1),入力!$F$23&lt;=DATE(税率・条件!$C$1+2018-40,計算!AO$3+1,1)),IF(OR(AND(入力!L23="",OR(入力!M23="",入力!M23&gt;4,入力!M23&lt;4)),AND(入力!L23=4,OR(入力!M23="",入力!M23&gt;4,入力!M23&lt;4))),"■",""),""))</f>
        <v/>
      </c>
      <c r="AP19" s="194" t="str">
        <f>IF(入力!$F$23="","",IF(AND(入力!$F$23&gt;DATE(税率・条件!$C$1+2018-65,計算!AP$3+1,1),入力!$F$23&lt;=DATE(税率・条件!$C$1+2018-40,計算!AP$3+1,1)),IF(OR(AND(入力!L23="",OR(入力!M23="",入力!M23&gt;5,入力!M23&lt;4)),AND(入力!L23=4,OR(入力!M23="",入力!M23&gt;5,入力!M23&lt;4)),AND(入力!L23=5,OR(入力!M23="",入力!M23&gt;5,入力!M23&lt;4))),"■",""),""))</f>
        <v/>
      </c>
      <c r="AQ19" s="194" t="str">
        <f>IF(入力!$F$23="","",IF(AND(入力!$F$23&gt;DATE(税率・条件!$C$1+2018-65,計算!AQ$3+1,1),入力!$F$23&lt;=DATE(税率・条件!$C$1+2018-40,計算!AQ$3+1,1)),IF(OR(AND(入力!L23="",OR(入力!M23="",入力!M23&gt;6,入力!M23&lt;4)),AND(入力!L23=4,OR(入力!M23="",入力!M23&gt;6,入力!M23&lt;4)),AND(入力!L23=5,OR(入力!M23="",入力!M23&gt;6,入力!M23&lt;4)),AND(入力!L23=6,OR(入力!M23="",入力!M23&gt;6,入力!M23&lt;4))),"■",""),""))</f>
        <v/>
      </c>
      <c r="AR19" s="194" t="str">
        <f>IF(入力!$F$23="","",IF(AND(入力!$F$23&gt;DATE(税率・条件!$C$1+2018-65,計算!AR$3+1,1),入力!$F$23&lt;=DATE(税率・条件!$C$1+2018-40,計算!AR$3+1,1)),IF(OR(AND(入力!L23="",OR(入力!M23="",入力!M23&gt;7,入力!M23&lt;4)),AND(入力!L23=4,OR(入力!M23="",入力!M23&gt;7,入力!M23&lt;4)),AND(入力!L23=5,OR(入力!M23="",入力!M23&gt;7,入力!M23&lt;4)),AND(入力!L23=6,OR(入力!M23="",入力!M23&gt;7,入力!M23&lt;4)),AND(入力!L23=7,OR(入力!M23="",入力!M23&gt;7,入力!M23&lt;4))),"■",""),""))</f>
        <v/>
      </c>
      <c r="AS19" s="194" t="str">
        <f>IF(入力!$F$23="","",IF(AND(入力!$F$23&gt;DATE(税率・条件!$C$1+2018-65,計算!AS$3+1,1),入力!$F$23&lt;=DATE(税率・条件!$C$1+2018-40,計算!AS$3+1,1)),IF(OR(AND(入力!L23="",OR(入力!M23="",入力!M23&gt;8,入力!M23&lt;4)),AND(入力!L23=4,OR(入力!M23="",入力!M23&gt;8,入力!M23&lt;4)),AND(入力!L23=5,OR(入力!M23="",入力!M23&gt;8,入力!M23&lt;4)),AND(入力!L23=6,OR(入力!M23="",入力!M23&gt;8,入力!M23&lt;4)),AND(入力!L23=7,OR(入力!M23="",入力!M23&gt;8,入力!M23&lt;4)),AND(入力!L23=8,OR(入力!M23="",入力!M23&gt;8,入力!M23&lt;4))),"■",""),""))</f>
        <v/>
      </c>
      <c r="AT19" s="194" t="str">
        <f>IF(入力!$F$23="","",IF(AND(入力!$F$23&gt;DATE(税率・条件!$C$1+2018-65,計算!AT$3+1,1),入力!$F$23&lt;=DATE(税率・条件!$C$1+2018-40,計算!AT$3+1,1)),IF(OR(AND(入力!L23="",OR(入力!M23="",入力!M23&gt;9,入力!M23&lt;4)),AND(入力!L23=4,OR(入力!M23="",入力!M23&gt;9,入力!M23&lt;4)),AND(入力!L23=5,OR(入力!M23="",入力!M23&gt;9,入力!M23&lt;4)),AND(入力!L23=6,OR(入力!M23="",入力!M23&gt;9,入力!M23&lt;4)),AND(入力!L23=7,OR(入力!M23="",入力!M23&gt;9,入力!M23&lt;4)),AND(入力!L23=8,OR(入力!M23="",入力!M23&gt;9,入力!M23&lt;4)),AND(入力!L23=9,OR(入力!M23="",入力!M23&gt;9,入力!M23&lt;4))),"■",""),""))</f>
        <v/>
      </c>
      <c r="AU19" s="194" t="str">
        <f>IF(入力!$F$23="","",IF(AND(入力!$F$23&gt;DATE(税率・条件!$C$1+2018-65,計算!AU$3+1,1),入力!$F$23&lt;=DATE(税率・条件!$C$1+2018-40,計算!AU$3+1,1)),IF(OR(AND(入力!L23="",OR(入力!M23="",入力!M23&gt;10,入力!M23&lt;4)),AND(入力!L23=4,OR(入力!M23="",入力!M23&gt;10,入力!M23&lt;4)),AND(入力!L23=5,OR(入力!M23="",入力!M23&gt;10,入力!M23&lt;4)),AND(入力!L23=6,OR(入力!M23="",入力!M23&gt;10,入力!M23&lt;4)),AND(入力!L23=7,OR(入力!M23="",入力!M23&gt;10,入力!M23&lt;4)),AND(入力!L23=8,OR(入力!M23="",入力!M23&gt;10,入力!M23&lt;4)),AND(入力!L23=9,OR(入力!M23="",入力!M23&gt;10,入力!M23&lt;4)),AND(入力!L23=10,OR(入力!M23="",入力!M23&gt;10,入力!M23&lt;4))),"■",""),""))</f>
        <v/>
      </c>
      <c r="AV19" s="194" t="str">
        <f>IF(入力!$F$23="","",IF(AND(入力!$F$23&gt;DATE(税率・条件!$C$1+2018-65,計算!AV$3+1,1),入力!$F$23&lt;=DATE(税率・条件!$C$1+2018-40,計算!AV$3+1,1)),IF(OR(AND(入力!L23="",OR(入力!M23="",入力!M23&gt;11,入力!M23&lt;4)),AND(入力!L23=4,OR(入力!M23="",入力!M23&gt;11,入力!M23&lt;4)),AND(入力!L23=5,OR(入力!M23="",入力!M23&gt;11,入力!M23&lt;4)),AND(入力!L23=6,OR(入力!M23="",入力!M23&gt;11,入力!M23&lt;4)),AND(入力!L23=7,OR(入力!M23="",入力!M23&gt;11,入力!M23&lt;4)),AND(入力!L23=8,OR(入力!M23="",入力!M23&gt;11,入力!M23&lt;4)),AND(入力!L23=9,OR(入力!M23="",入力!M23&gt;11,入力!M23&lt;4)),AND(入力!L23=10,OR(入力!M23="",入力!M23&gt;11,入力!M23&lt;4)),AND(入力!L23=11,OR(入力!M23="",入力!M23&gt;11,入力!M23&lt;4))),"■",""),""))</f>
        <v/>
      </c>
      <c r="AW19" s="194" t="str">
        <f>IF(入力!$F$23="","",IF(AND(入力!$F$23&gt;DATE(税率・条件!$C$1+2018-65,計算!AW$3+1,1),入力!$F$23&lt;=DATE(税率・条件!$C$1+2018-40,計算!AW$3+1,1)),IF(OR(AND(入力!L23="",OR(入力!M23="",入力!M23&gt;12,入力!M23&lt;4)),AND(入力!L23=4,OR(入力!M23="",入力!M23&gt;12,入力!M23&lt;4)),AND(入力!L23=5,OR(入力!M23="",入力!M23&gt;12,入力!M23&lt;4)),AND(入力!L23=6,OR(入力!M23="",入力!M23&gt;12,入力!M23&lt;4)),AND(入力!L23=7,OR(入力!M23="",入力!M23&gt;12,入力!M23&lt;4)),AND(入力!L23=8,OR(入力!M23="",入力!M23&gt;12,入力!M23&lt;4)),AND(入力!L23=9,OR(入力!M23="",入力!M23&gt;12,入力!M23&lt;4)),AND(入力!L23=10,OR(入力!M23="",入力!M23&gt;12,入力!M23&lt;4)),AND(入力!L23=11,OR(入力!M23="",入力!M23&gt;12,入力!M23&lt;4)),AND(入力!L23=12,OR(入力!M23="",入力!M23&gt;12,入力!M23&lt;4))),"■",""),""))</f>
        <v/>
      </c>
      <c r="AX19" s="194" t="str">
        <f>IF(入力!$F$23="","",IF(AND(入力!$F$23&gt;DATE(税率・条件!$C$1+2019-65,計算!AX$3+1,1),入力!$F$23&lt;=DATE(税率・条件!$C$1+2019-40,計算!AX$3+1,1)),IF(OR(AND(入力!L23="",OR(入力!M23="",入力!M23=2,入力!M23=3)),AND(入力!L23=4,OR(入力!M23="",入力!M23=2,入力!M23=3)),AND(入力!L23=5,OR(入力!M23="",入力!M23=2,入力!M23=3)),AND(入力!L23=6,OR(入力!M23="",入力!M23=2,入力!M23=3)),AND(入力!L23=7,OR(入力!M23="",入力!M23=2,入力!M23=3)),AND(入力!L23=8,OR(入力!M23="",入力!M23=2,入力!M23=3)),AND(入力!L23=9,OR(入力!M23="",入力!M23=2,入力!M23=3)),AND(入力!L23=10,OR(入力!M23="",入力!M23=2,入力!M23=3)),AND(入力!L23=11,OR(入力!M23="",入力!M23=2,入力!M23=3)),AND(入力!L23=12,OR(入力!M23="",入力!M23=2,入力!M23=3)),AND(入力!L23=1,OR(入力!M23="",入力!M23=2,入力!M23=3))),"■",""),""))</f>
        <v/>
      </c>
      <c r="AY19" s="194" t="str">
        <f>IF(入力!$F$23="","",IF(AND(入力!$F$23&gt;DATE(税率・条件!$C$1+2019-65,計算!AY$3+1,1),入力!$F$23&lt;=DATE(税率・条件!$C$1+2019-40,計算!AY$3+1,1)),IF(OR(AND(入力!L23="",OR(入力!M23="",入力!M23=3)),AND(入力!L23=4,OR(入力!M23="",入力!M23=3)),AND(入力!L23=5,OR(入力!M23="",入力!M23=3)),AND(入力!L23=6,OR(入力!M23="",入力!M23=3)),AND(入力!L23=7,OR(入力!M23="",入力!M23=3)),AND(入力!L23=8,OR(入力!M23="",入力!M23=3)),AND(入力!L23=9,OR(入力!M23="",入力!M23=3)),AND(入力!L23=10,OR(入力!M23="",入力!M23=3)),AND(入力!L23=11,OR(入力!M23="",入力!M23=3)),AND(入力!L23=12,OR(入力!M23="",入力!M23=3)),AND(入力!L23=1,OR(入力!M23="",入力!M23=3)),AND(入力!L23=2,OR(入力!M23="",入力!M23=3))),"■",""),""))</f>
        <v/>
      </c>
      <c r="AZ19" s="201" t="str">
        <f>IF(入力!$F$23="","",IF(AND(入力!$F$23&gt;DATE(税率・条件!$C$1+2019-65,計算!AZ$3+1,1),入力!$F$23&lt;=DATE(税率・条件!$C$1+2019-40,計算!AZ$3+1,1)),IF(OR(AND(入力!L23="",入力!M23=""),AND(入力!L23=4,入力!M23=""),AND(入力!L23=5,入力!M23=""),AND(入力!L23=6,入力!M23=""),AND(入力!L23=7,入力!M23=""),AND(入力!L23=8,入力!M23=""),AND(入力!L23=9,入力!M23=""),AND(入力!L23=10,入力!M23=""),AND(入力!L23=11,入力!M23=""),AND(入力!L23=12,入力!M23=""),AND(入力!L23=1,入力!M23=""),AND(入力!L23=2,入力!M23=""),AND(入力!L23=3,入力!M23="")),"■",""),""))</f>
        <v/>
      </c>
      <c r="BD19" s="209" t="s">
        <v>204</v>
      </c>
      <c r="BE19" s="216">
        <f>ROUND(ROUNDDOWN((IF(AO$4="",0,$O4)+IF(AO$6="",0,$O6)+IF(AO$8="",0,$O8)+IF(AO$10="",0,$O10)+IF(AO$12="",0,$O12)+IF(AO$14="",0,$O14)+IF(AO$16="",0,$O16)+IF(AO$18="",0,$O18))*税率・条件!$C$19/100,0)/12,2)</f>
        <v>0</v>
      </c>
      <c r="BF19" s="216">
        <f>ROUND(ROUNDDOWN((IF(AP$4="",0,$O4)+IF(AP$6="",0,$O6)+IF(AP$8="",0,$O8)+IF(AP$10="",0,$O10)+IF(AP$12="",0,$O12)+IF(AP$14="",0,$O14)+IF(AP$16="",0,$O16)+IF(AP$18="",0,$O18))*税率・条件!$C$19/100,0)/12,2)</f>
        <v>0</v>
      </c>
      <c r="BG19" s="216">
        <f>ROUND(ROUNDDOWN((IF(AQ$4="",0,$O4)+IF(AQ$6="",0,$O6)+IF(AQ$8="",0,$O8)+IF(AQ$10="",0,$O10)+IF(AQ$12="",0,$O12)+IF(AQ$14="",0,$O14)+IF(AQ$16="",0,$O16)+IF(AQ$18="",0,$O18))*税率・条件!$C$19/100,0)/12,2)</f>
        <v>0</v>
      </c>
      <c r="BH19" s="216">
        <f>ROUND(ROUNDDOWN((IF(AR$4="",0,$O4)+IF(AR$6="",0,$O6)+IF(AR$8="",0,$O8)+IF(AR$10="",0,$O10)+IF(AR$12="",0,$O12)+IF(AR$14="",0,$O14)+IF(AR$16="",0,$O16)+IF(AR$18="",0,$O18))*税率・条件!$C$19/100,0)/12,2)</f>
        <v>0</v>
      </c>
      <c r="BI19" s="216">
        <f>ROUND(ROUNDDOWN((IF(AS$4="",0,$O4)+IF(AS$6="",0,$O6)+IF(AS$8="",0,$O8)+IF(AS$10="",0,$O10)+IF(AS$12="",0,$O12)+IF(AS$14="",0,$O14)+IF(AS$16="",0,$O16)+IF(AS$18="",0,$O18))*税率・条件!$C$19/100,0)/12,2)</f>
        <v>0</v>
      </c>
      <c r="BJ19" s="216">
        <f>ROUND(ROUNDDOWN((IF(AT$4="",0,$O4)+IF(AT$6="",0,$O6)+IF(AT$8="",0,$O8)+IF(AT$10="",0,$O10)+IF(AT$12="",0,$O12)+IF(AT$14="",0,$O14)+IF(AT$16="",0,$O16)+IF(AT$18="",0,$O18))*税率・条件!$C$19/100,0)/12,2)</f>
        <v>0</v>
      </c>
      <c r="BK19" s="216">
        <f>ROUND(ROUNDDOWN((IF(AU$4="",0,$O4)+IF(AU$6="",0,$O6)+IF(AU$8="",0,$O8)+IF(AU$10="",0,$O10)+IF(AU$12="",0,$O12)+IF(AU$14="",0,$O14)+IF(AU$16="",0,$O16)+IF(AU$18="",0,$O18))*税率・条件!$C$19/100,0)/12,2)</f>
        <v>0</v>
      </c>
      <c r="BL19" s="216">
        <f>ROUND(ROUNDDOWN((IF(AV$4="",0,$O4)+IF(AV$6="",0,$O6)+IF(AV$8="",0,$O8)+IF(AV$10="",0,$O10)+IF(AV$12="",0,$O12)+IF(AV$14="",0,$O14)+IF(AV$16="",0,$O16)+IF(AV$18="",0,$O18))*税率・条件!$C$19/100,0)/12,2)</f>
        <v>0</v>
      </c>
      <c r="BM19" s="216">
        <f>ROUND(ROUNDDOWN((IF(AW$4="",0,$O4)+IF(AW$6="",0,$O6)+IF(AW$8="",0,$O8)+IF(AW$10="",0,$O10)+IF(AW$12="",0,$O12)+IF(AW$14="",0,$O14)+IF(AW$16="",0,$O16)+IF(AW$18="",0,$O18))*税率・条件!$C$19/100,0)/12,2)</f>
        <v>0</v>
      </c>
      <c r="BN19" s="216">
        <f>ROUND(ROUNDDOWN((IF(AX$4="",0,$O4)+IF(AX$6="",0,$O6)+IF(AX$8="",0,$O8)+IF(AX$10="",0,$O10)+IF(AX$12="",0,$O12)+IF(AX$14="",0,$O14)+IF(AX$16="",0,$O16)+IF(AX$18="",0,$O18))*税率・条件!$C$19/100,0)/12,2)</f>
        <v>0</v>
      </c>
      <c r="BO19" s="216">
        <f>ROUND(ROUNDDOWN((IF(AY$4="",0,$O4)+IF(AY$6="",0,$O6)+IF(AY$8="",0,$O8)+IF(AY$10="",0,$O10)+IF(AY$12="",0,$O12)+IF(AY$14="",0,$O14)+IF(AY$16="",0,$O16)+IF(AY$18="",0,$O18))*税率・条件!$C$19/100,0)/12,2)</f>
        <v>0</v>
      </c>
      <c r="BP19" s="216">
        <f>ROUND(ROUNDDOWN((IF(AZ$4="",0,$O4)+IF(AZ$6="",0,$O6)+IF(AZ$8="",0,$O8)+IF(AZ$10="",0,$O10)+IF(AZ$12="",0,$O12)+IF(AZ$14="",0,$O14)+IF(AZ$16="",0,$O16)+IF(AZ$18="",0,$O18))*税率・条件!$C$19/100,0)/12,2)</f>
        <v>0</v>
      </c>
      <c r="BQ19" s="216">
        <f t="shared" si="0"/>
        <v>0</v>
      </c>
      <c r="BR19" s="228">
        <f t="shared" si="1"/>
        <v>0</v>
      </c>
    </row>
    <row r="20" spans="1:71" ht="18.95" customHeight="1" x14ac:dyDescent="0.15">
      <c r="A20" s="97"/>
      <c r="B20" s="99"/>
      <c r="C20" s="105"/>
      <c r="D20" s="99"/>
      <c r="E20" s="112"/>
      <c r="F20" s="105"/>
      <c r="G20" s="105"/>
      <c r="H20" s="105"/>
      <c r="I20" s="105"/>
      <c r="J20" s="105"/>
      <c r="K20" s="105"/>
      <c r="L20" s="105"/>
      <c r="M20" s="105"/>
      <c r="N20" s="133">
        <f>SUM(N4:N18)</f>
        <v>0</v>
      </c>
      <c r="O20" s="133">
        <f>SUM(O4:O18)</f>
        <v>0</v>
      </c>
      <c r="P20" s="133">
        <f>SUM(P4:P18)</f>
        <v>0</v>
      </c>
      <c r="Q20" s="133">
        <f>SUM(Q4:Q19)</f>
        <v>0</v>
      </c>
      <c r="R20" s="141">
        <f>SUM(R4:R18)</f>
        <v>0</v>
      </c>
      <c r="S20" s="141"/>
      <c r="T20" s="133">
        <f t="shared" ref="T20:AM20" si="11">SUM(T4:T18)</f>
        <v>0</v>
      </c>
      <c r="U20" s="133">
        <f t="shared" si="11"/>
        <v>0</v>
      </c>
      <c r="V20" s="133">
        <f t="shared" si="11"/>
        <v>0</v>
      </c>
      <c r="W20" s="133">
        <f t="shared" si="11"/>
        <v>0</v>
      </c>
      <c r="X20" s="133">
        <f t="shared" si="11"/>
        <v>0</v>
      </c>
      <c r="Y20" s="133">
        <f t="shared" si="11"/>
        <v>0</v>
      </c>
      <c r="Z20" s="133">
        <f t="shared" si="11"/>
        <v>0</v>
      </c>
      <c r="AA20" s="133">
        <f t="shared" si="11"/>
        <v>0</v>
      </c>
      <c r="AB20" s="133">
        <f t="shared" si="11"/>
        <v>0</v>
      </c>
      <c r="AC20" s="133">
        <f t="shared" si="11"/>
        <v>0</v>
      </c>
      <c r="AD20" s="133">
        <f t="shared" si="11"/>
        <v>0</v>
      </c>
      <c r="AE20" s="133">
        <f t="shared" si="11"/>
        <v>0</v>
      </c>
      <c r="AF20" s="133">
        <f t="shared" si="11"/>
        <v>0</v>
      </c>
      <c r="AG20" s="133">
        <f t="shared" si="11"/>
        <v>0</v>
      </c>
      <c r="AH20" s="133">
        <f t="shared" si="11"/>
        <v>0</v>
      </c>
      <c r="AI20" s="133">
        <f t="shared" si="11"/>
        <v>0</v>
      </c>
      <c r="AJ20" s="133">
        <f t="shared" si="11"/>
        <v>0</v>
      </c>
      <c r="AK20" s="133">
        <f t="shared" si="11"/>
        <v>0</v>
      </c>
      <c r="AL20" s="133">
        <f t="shared" si="11"/>
        <v>0</v>
      </c>
      <c r="AM20" s="133">
        <f t="shared" si="11"/>
        <v>0</v>
      </c>
      <c r="AN20" s="133">
        <f>SUM(AO20:AZ20)</f>
        <v>0</v>
      </c>
      <c r="AO20" s="105" t="str">
        <f t="shared" ref="AO20:AZ20" si="12">IF(COUNTIF(AO4:AO19,"●")+COUNTIF(AO4:AO19,"▲")&gt;0,1,"")</f>
        <v/>
      </c>
      <c r="AP20" s="105" t="str">
        <f t="shared" si="12"/>
        <v/>
      </c>
      <c r="AQ20" s="105" t="str">
        <f t="shared" si="12"/>
        <v/>
      </c>
      <c r="AR20" s="105" t="str">
        <f t="shared" si="12"/>
        <v/>
      </c>
      <c r="AS20" s="105" t="str">
        <f t="shared" si="12"/>
        <v/>
      </c>
      <c r="AT20" s="105" t="str">
        <f t="shared" si="12"/>
        <v/>
      </c>
      <c r="AU20" s="105" t="str">
        <f t="shared" si="12"/>
        <v/>
      </c>
      <c r="AV20" s="105" t="str">
        <f t="shared" si="12"/>
        <v/>
      </c>
      <c r="AW20" s="105" t="str">
        <f t="shared" si="12"/>
        <v/>
      </c>
      <c r="AX20" s="105" t="str">
        <f t="shared" si="12"/>
        <v/>
      </c>
      <c r="AY20" s="105" t="str">
        <f t="shared" si="12"/>
        <v/>
      </c>
      <c r="AZ20" s="105" t="str">
        <f t="shared" si="12"/>
        <v/>
      </c>
      <c r="BB20" s="204" t="str">
        <f>IF(AO20=1,AO3,IF(AP20=1,AP3,IF(AQ20=1,AQ3,IF(AR20=1,AR3,IF(AS20=1,AS3,IF(AT20=1,AT3,IF(AU20=1,AU3,IF(AV20=1,AV3,IF(AW20=1,AW3,IF(AX20=1,AX3,IF(AY20=1,AY3,IF(AZ20=1,AZ3,""))))))))))))</f>
        <v/>
      </c>
      <c r="BD20" s="210" t="s">
        <v>205</v>
      </c>
      <c r="BE20" s="219">
        <f>ROUND(ROUNDDOWN((IF(AO$4="",0,入力!$J$16)+IF(AO$6="",0,入力!$J$17)+IF(AO$8="",0,入力!$J$18)+IF(AO$10="",0,入力!$J$19)+IF(AO$12="",0,入力!$J$20)+IF(AO$14="",0,入力!$J$21)+IF(AO$16="",0,入力!$J$22)+IF(AO$18="",0,入力!$J$23))*税率・条件!$C$20/100,0)/12,2)</f>
        <v>0</v>
      </c>
      <c r="BF20" s="219">
        <f>ROUND(ROUNDDOWN((IF(AP$4="",0,入力!$J$16)+IF(AP$6="",0,入力!$J$17)+IF(AP$8="",0,入力!$J$18)+IF(AP$10="",0,入力!$J$19)+IF(AP$12="",0,入力!$J$20)+IF(AP$14="",0,入力!$J$21)+IF(AP$16="",0,入力!$J$22)+IF(AP$18="",0,入力!$J$23))*税率・条件!$C$20/100,0)/12,2)</f>
        <v>0</v>
      </c>
      <c r="BG20" s="219">
        <f>ROUND(ROUNDDOWN((IF(AQ$4="",0,入力!$J$16)+IF(AQ$6="",0,入力!$J$17)+IF(AQ$8="",0,入力!$J$18)+IF(AQ$10="",0,入力!$J$19)+IF(AQ$12="",0,入力!$J$20)+IF(AQ$14="",0,入力!$J$21)+IF(AQ$16="",0,入力!$J$22)+IF(AQ$18="",0,入力!$J$23))*税率・条件!$C$20/100,0)/12,2)</f>
        <v>0</v>
      </c>
      <c r="BH20" s="219">
        <f>ROUND(ROUNDDOWN((IF(AR$4="",0,入力!$J$16)+IF(AR$6="",0,入力!$J$17)+IF(AR$8="",0,入力!$J$18)+IF(AR$10="",0,入力!$J$19)+IF(AR$12="",0,入力!$J$20)+IF(AR$14="",0,入力!$J$21)+IF(AR$16="",0,入力!$J$22)+IF(AR$18="",0,入力!$J$23))*税率・条件!$C$20/100,0)/12,2)</f>
        <v>0</v>
      </c>
      <c r="BI20" s="219">
        <f>ROUND(ROUNDDOWN((IF(AS$4="",0,入力!$J$16)+IF(AS$6="",0,入力!$J$17)+IF(AS$8="",0,入力!$J$18)+IF(AS$10="",0,入力!$J$19)+IF(AS$12="",0,入力!$J$20)+IF(AS$14="",0,入力!$J$21)+IF(AS$16="",0,入力!$J$22)+IF(AS$18="",0,入力!$J$23))*税率・条件!$C$20/100,0)/12,2)</f>
        <v>0</v>
      </c>
      <c r="BJ20" s="219">
        <f>ROUND(ROUNDDOWN((IF(AT$4="",0,入力!$J$16)+IF(AT$6="",0,入力!$J$17)+IF(AT$8="",0,入力!$J$18)+IF(AT$10="",0,入力!$J$19)+IF(AT$12="",0,入力!$J$20)+IF(AT$14="",0,入力!$J$21)+IF(AT$16="",0,入力!$J$22)+IF(AT$18="",0,入力!$J$23))*税率・条件!$C$20/100,0)/12,2)</f>
        <v>0</v>
      </c>
      <c r="BK20" s="219">
        <f>ROUND(ROUNDDOWN((IF(AU$4="",0,入力!$J$16)+IF(AU$6="",0,入力!$J$17)+IF(AU$8="",0,入力!$J$18)+IF(AU$10="",0,入力!$J$19)+IF(AU$12="",0,入力!$J$20)+IF(AU$14="",0,入力!$J$21)+IF(AU$16="",0,入力!$J$22)+IF(AU$18="",0,入力!$J$23))*税率・条件!$C$20/100,0)/12,2)</f>
        <v>0</v>
      </c>
      <c r="BL20" s="219">
        <f>ROUND(ROUNDDOWN((IF(AV$4="",0,入力!$J$16)+IF(AV$6="",0,入力!$J$17)+IF(AV$8="",0,入力!$J$18)+IF(AV$10="",0,入力!$J$19)+IF(AV$12="",0,入力!$J$20)+IF(AV$14="",0,入力!$J$21)+IF(AV$16="",0,入力!$J$22)+IF(AV$18="",0,入力!$J$23))*税率・条件!$C$20/100,0)/12,2)</f>
        <v>0</v>
      </c>
      <c r="BM20" s="219">
        <f>ROUND(ROUNDDOWN((IF(AW$4="",0,入力!$J$16)+IF(AW$6="",0,入力!$J$17)+IF(AW$8="",0,入力!$J$18)+IF(AW$10="",0,入力!$J$19)+IF(AW$12="",0,入力!$J$20)+IF(AW$14="",0,入力!$J$21)+IF(AW$16="",0,入力!$J$22)+IF(AW$18="",0,入力!$J$23))*税率・条件!$C$20/100,0)/12,2)</f>
        <v>0</v>
      </c>
      <c r="BN20" s="219">
        <f>ROUND(ROUNDDOWN((IF(AX$4="",0,入力!$J$16)+IF(AX$6="",0,入力!$J$17)+IF(AX$8="",0,入力!$J$18)+IF(AX$10="",0,入力!$J$19)+IF(AX$12="",0,入力!$J$20)+IF(AX$14="",0,入力!$J$21)+IF(AX$16="",0,入力!$J$22)+IF(AX$18="",0,入力!$J$23))*税率・条件!$C$20/100,0)/12,2)</f>
        <v>0</v>
      </c>
      <c r="BO20" s="219">
        <f>ROUND(ROUNDDOWN((IF(AY$4="",0,入力!$J$16)+IF(AY$6="",0,入力!$J$17)+IF(AY$8="",0,入力!$J$18)+IF(AY$10="",0,入力!$J$19)+IF(AY$12="",0,入力!$J$20)+IF(AY$14="",0,入力!$J$21)+IF(AY$16="",0,入力!$J$22)+IF(AY$18="",0,入力!$J$23))*税率・条件!$C$20/100,0)/12,2)</f>
        <v>0</v>
      </c>
      <c r="BP20" s="219">
        <f>ROUND(ROUNDDOWN((IF(AZ$4="",0,入力!$J$16)+IF(AZ$6="",0,入力!$J$17)+IF(AZ$8="",0,入力!$J$18)+IF(AZ$10="",0,入力!$J$19)+IF(AZ$12="",0,入力!$J$20)+IF(AZ$14="",0,入力!$J$21)+IF(AZ$16="",0,入力!$J$22)+IF(AZ$18="",0,入力!$J$23))*税率・条件!$C$20/100,0)/12,2)</f>
        <v>0</v>
      </c>
      <c r="BQ20" s="221">
        <f t="shared" si="0"/>
        <v>0</v>
      </c>
      <c r="BR20" s="229">
        <f t="shared" si="1"/>
        <v>0</v>
      </c>
    </row>
    <row r="21" spans="1:71" ht="18.95" customHeight="1" x14ac:dyDescent="0.15">
      <c r="A21" s="98"/>
      <c r="B21" s="100"/>
      <c r="C21" s="105"/>
      <c r="D21" s="100"/>
      <c r="E21" s="100"/>
      <c r="F21" s="105"/>
      <c r="G21" s="105"/>
      <c r="H21" s="105"/>
      <c r="I21" s="105"/>
      <c r="J21" s="105"/>
      <c r="K21" s="105"/>
      <c r="L21" s="105"/>
      <c r="M21" s="105"/>
      <c r="N21" s="105"/>
      <c r="O21" s="105"/>
      <c r="P21" s="105"/>
      <c r="Q21" s="105"/>
      <c r="R21" s="105"/>
      <c r="S21" s="105"/>
      <c r="T21" s="105"/>
      <c r="U21" s="105"/>
      <c r="V21" s="105"/>
      <c r="W21" s="146"/>
      <c r="X21" s="148"/>
      <c r="Y21" s="105"/>
      <c r="Z21" s="105"/>
      <c r="AA21" s="105"/>
      <c r="AB21" s="105"/>
      <c r="AC21" s="148"/>
      <c r="AD21" s="105"/>
      <c r="AE21" s="105"/>
      <c r="AF21" s="105"/>
      <c r="AG21" s="105"/>
      <c r="AH21" s="148"/>
      <c r="AI21" s="148"/>
      <c r="AJ21" s="148"/>
      <c r="AK21" s="148"/>
      <c r="AL21" s="148"/>
      <c r="AM21" s="148"/>
      <c r="AN21" s="133">
        <f>SUM(AO21:AZ21)</f>
        <v>0</v>
      </c>
      <c r="AO21" s="105" t="str">
        <f t="shared" ref="AO21:AZ21" si="13">IF(COUNTIF(AO4:AO19,"■")&gt;0,1,"")</f>
        <v/>
      </c>
      <c r="AP21" s="105" t="str">
        <f t="shared" si="13"/>
        <v/>
      </c>
      <c r="AQ21" s="105" t="str">
        <f t="shared" si="13"/>
        <v/>
      </c>
      <c r="AR21" s="105" t="str">
        <f t="shared" si="13"/>
        <v/>
      </c>
      <c r="AS21" s="105" t="str">
        <f t="shared" si="13"/>
        <v/>
      </c>
      <c r="AT21" s="105" t="str">
        <f t="shared" si="13"/>
        <v/>
      </c>
      <c r="AU21" s="105" t="str">
        <f t="shared" si="13"/>
        <v/>
      </c>
      <c r="AV21" s="105" t="str">
        <f t="shared" si="13"/>
        <v/>
      </c>
      <c r="AW21" s="105" t="str">
        <f t="shared" si="13"/>
        <v/>
      </c>
      <c r="AX21" s="105" t="str">
        <f t="shared" si="13"/>
        <v/>
      </c>
      <c r="AY21" s="105" t="str">
        <f t="shared" si="13"/>
        <v/>
      </c>
      <c r="AZ21" s="105" t="str">
        <f t="shared" si="13"/>
        <v/>
      </c>
      <c r="BD21" s="210" t="s">
        <v>206</v>
      </c>
      <c r="BE21" s="219">
        <f t="shared" ref="BE21:BP21" si="14">ROUND(ROUNDDOWN((IF(AO$4="",0,$AK4)+IF(AO$6="",0,$AK6)+IF(AO$8="",0,$AK8)+IF(AO$10="",0,$AK10)+IF(AO$12="",0,$AK12)+IF(AO$14="",0,$AK14)+IF(AO$16="",0,$AK16)+IF(AO$18="",0,$AK18)),0)/12,2)</f>
        <v>0</v>
      </c>
      <c r="BF21" s="219">
        <f t="shared" si="14"/>
        <v>0</v>
      </c>
      <c r="BG21" s="219">
        <f t="shared" si="14"/>
        <v>0</v>
      </c>
      <c r="BH21" s="219">
        <f t="shared" si="14"/>
        <v>0</v>
      </c>
      <c r="BI21" s="219">
        <f t="shared" si="14"/>
        <v>0</v>
      </c>
      <c r="BJ21" s="219">
        <f t="shared" si="14"/>
        <v>0</v>
      </c>
      <c r="BK21" s="219">
        <f t="shared" si="14"/>
        <v>0</v>
      </c>
      <c r="BL21" s="219">
        <f t="shared" si="14"/>
        <v>0</v>
      </c>
      <c r="BM21" s="219">
        <f t="shared" si="14"/>
        <v>0</v>
      </c>
      <c r="BN21" s="219">
        <f t="shared" si="14"/>
        <v>0</v>
      </c>
      <c r="BO21" s="219">
        <f t="shared" si="14"/>
        <v>0</v>
      </c>
      <c r="BP21" s="219">
        <f t="shared" si="14"/>
        <v>0</v>
      </c>
      <c r="BQ21" s="221">
        <f t="shared" si="0"/>
        <v>0</v>
      </c>
      <c r="BR21" s="229">
        <f t="shared" si="1"/>
        <v>0</v>
      </c>
      <c r="BS21" s="145"/>
    </row>
    <row r="22" spans="1:71" ht="18.95" customHeight="1" x14ac:dyDescent="0.15">
      <c r="AN22" s="158" t="s">
        <v>152</v>
      </c>
      <c r="AO22" s="1" t="str">
        <f t="shared" ref="AO22:AZ22" si="15">IF(COUNTIF(AO4:AO19,"●")+COUNTIF(AO4:AO19,"▲")&gt;0,COUNTIF(AO4:AO19,"●")+COUNTIF(AO4:AO19,"▲"),"")</f>
        <v/>
      </c>
      <c r="AP22" s="1" t="str">
        <f t="shared" si="15"/>
        <v/>
      </c>
      <c r="AQ22" s="1" t="str">
        <f t="shared" si="15"/>
        <v/>
      </c>
      <c r="AR22" s="1" t="str">
        <f t="shared" si="15"/>
        <v/>
      </c>
      <c r="AS22" s="1" t="str">
        <f t="shared" si="15"/>
        <v/>
      </c>
      <c r="AT22" s="1" t="str">
        <f t="shared" si="15"/>
        <v/>
      </c>
      <c r="AU22" s="1" t="str">
        <f t="shared" si="15"/>
        <v/>
      </c>
      <c r="AV22" s="1" t="str">
        <f t="shared" si="15"/>
        <v/>
      </c>
      <c r="AW22" s="1" t="str">
        <f t="shared" si="15"/>
        <v/>
      </c>
      <c r="AX22" s="1" t="str">
        <f t="shared" si="15"/>
        <v/>
      </c>
      <c r="AY22" s="1" t="str">
        <f t="shared" si="15"/>
        <v/>
      </c>
      <c r="AZ22" s="1" t="str">
        <f t="shared" si="15"/>
        <v/>
      </c>
      <c r="BB22" s="205" t="str">
        <f>IF(AO20=1,AO22,IF(AP20=1,AP22,IF(AQ20=1,AQ22,IF(AR20=1,AR22,IF(AS20=1,AS22,IF(AT20=1,AT22,IF(AU20=1,AU22,IF(AV20=1,AV22,IF(AW20=1,AW22,IF(AX20=1,AX22,IF(AY20=1,AY22,IF(AZ20=1,AZ22,""))))))))))))</f>
        <v/>
      </c>
      <c r="BD22" s="210" t="s">
        <v>207</v>
      </c>
      <c r="BE22" s="219">
        <f t="shared" ref="BE22:BP22" si="16">ROUND(ROUNDDOWN(IF(AO$20="",0,$AL4),0)/12,2)</f>
        <v>0</v>
      </c>
      <c r="BF22" s="219">
        <f t="shared" si="16"/>
        <v>0</v>
      </c>
      <c r="BG22" s="219">
        <f t="shared" si="16"/>
        <v>0</v>
      </c>
      <c r="BH22" s="219">
        <f t="shared" si="16"/>
        <v>0</v>
      </c>
      <c r="BI22" s="219">
        <f t="shared" si="16"/>
        <v>0</v>
      </c>
      <c r="BJ22" s="219">
        <f t="shared" si="16"/>
        <v>0</v>
      </c>
      <c r="BK22" s="219">
        <f t="shared" si="16"/>
        <v>0</v>
      </c>
      <c r="BL22" s="219">
        <f t="shared" si="16"/>
        <v>0</v>
      </c>
      <c r="BM22" s="219">
        <f t="shared" si="16"/>
        <v>0</v>
      </c>
      <c r="BN22" s="219">
        <f t="shared" si="16"/>
        <v>0</v>
      </c>
      <c r="BO22" s="219">
        <f t="shared" si="16"/>
        <v>0</v>
      </c>
      <c r="BP22" s="219">
        <f t="shared" si="16"/>
        <v>0</v>
      </c>
      <c r="BQ22" s="221">
        <f t="shared" si="0"/>
        <v>0</v>
      </c>
      <c r="BR22" s="229">
        <f t="shared" si="1"/>
        <v>0</v>
      </c>
      <c r="BS22" s="145"/>
    </row>
    <row r="23" spans="1:71" ht="18.95" customHeight="1" x14ac:dyDescent="0.15">
      <c r="B23" s="1" t="s">
        <v>41</v>
      </c>
      <c r="L23" s="119" t="s">
        <v>64</v>
      </c>
      <c r="P23" s="119" t="str">
        <f>"令和"&amp;DBCS(税率・条件!C1)&amp;"年度　年税額"</f>
        <v>令和８年度　年税額</v>
      </c>
      <c r="X23" s="119" t="str">
        <f>"各個人保険税額計（令和"&amp;DBCS(税率・条件!C1)&amp;"年度税率&amp;月割税額）"</f>
        <v>各個人保険税額計（令和８年度税率&amp;月割税額）</v>
      </c>
      <c r="BD23" s="211" t="s">
        <v>185</v>
      </c>
      <c r="BE23" s="218">
        <f t="shared" ref="BE23:BP23" si="17">SUM(BE19:BE22)</f>
        <v>0</v>
      </c>
      <c r="BF23" s="218">
        <f t="shared" si="17"/>
        <v>0</v>
      </c>
      <c r="BG23" s="218">
        <f t="shared" si="17"/>
        <v>0</v>
      </c>
      <c r="BH23" s="218">
        <f t="shared" si="17"/>
        <v>0</v>
      </c>
      <c r="BI23" s="218">
        <f t="shared" si="17"/>
        <v>0</v>
      </c>
      <c r="BJ23" s="218">
        <f t="shared" si="17"/>
        <v>0</v>
      </c>
      <c r="BK23" s="218">
        <f t="shared" si="17"/>
        <v>0</v>
      </c>
      <c r="BL23" s="218">
        <f t="shared" si="17"/>
        <v>0</v>
      </c>
      <c r="BM23" s="218">
        <f t="shared" si="17"/>
        <v>0</v>
      </c>
      <c r="BN23" s="218">
        <f t="shared" si="17"/>
        <v>0</v>
      </c>
      <c r="BO23" s="218">
        <f t="shared" si="17"/>
        <v>0</v>
      </c>
      <c r="BP23" s="218">
        <f t="shared" si="17"/>
        <v>0</v>
      </c>
      <c r="BQ23" s="218">
        <f t="shared" si="0"/>
        <v>0</v>
      </c>
      <c r="BR23" s="230">
        <f t="shared" si="1"/>
        <v>0</v>
      </c>
      <c r="BS23" s="145"/>
    </row>
    <row r="24" spans="1:71" ht="18.95" customHeight="1" x14ac:dyDescent="0.15">
      <c r="B24" s="101" t="s">
        <v>15</v>
      </c>
      <c r="C24" s="101" t="str">
        <f>X26</f>
        <v>世帯主</v>
      </c>
      <c r="D24" s="110" t="str">
        <f>X27</f>
        <v>２</v>
      </c>
      <c r="E24" s="110" t="str">
        <f>X28</f>
        <v>３</v>
      </c>
      <c r="F24" s="110" t="str">
        <f>X29</f>
        <v>４</v>
      </c>
      <c r="G24" s="110" t="str">
        <f>X30</f>
        <v>５</v>
      </c>
      <c r="H24" s="110" t="str">
        <f>X31</f>
        <v>６</v>
      </c>
      <c r="I24" s="110" t="str">
        <f>X32</f>
        <v>７</v>
      </c>
      <c r="J24" s="110" t="str">
        <f>X33</f>
        <v>８</v>
      </c>
      <c r="L24" s="120" t="s">
        <v>121</v>
      </c>
      <c r="M24" s="122">
        <f>COUNT(Q4:Q19)</f>
        <v>0</v>
      </c>
      <c r="P24" s="409" t="s">
        <v>215</v>
      </c>
      <c r="Q24" s="136" t="s">
        <v>46</v>
      </c>
      <c r="R24" s="294">
        <f>BR26</f>
        <v>0</v>
      </c>
      <c r="S24" s="295"/>
      <c r="T24" s="296"/>
      <c r="U24" s="144" t="str">
        <f>IF(AND(R24&gt;0,COUNTIF($Z$50:$AV$50,"該当")&gt;0),"月割限度。調整前:"&amp;TEXT(ROUND(BR4,0),"#,##0"&amp;"円"),"")</f>
        <v/>
      </c>
      <c r="X24" s="350"/>
      <c r="Y24" s="352" t="s">
        <v>72</v>
      </c>
      <c r="Z24" s="297" t="s">
        <v>70</v>
      </c>
      <c r="AA24" s="298"/>
      <c r="AB24" s="298"/>
      <c r="AC24" s="298"/>
      <c r="AD24" s="298"/>
      <c r="AE24" s="299"/>
      <c r="BS24" s="145"/>
    </row>
    <row r="25" spans="1:71" ht="18.95" customHeight="1" x14ac:dyDescent="0.15">
      <c r="B25" s="102">
        <v>1</v>
      </c>
      <c r="C25" s="106" t="str">
        <f>IF(AND(入力!G16&gt;=B25,入力!G16&lt;B26),0,"")</f>
        <v/>
      </c>
      <c r="D25" s="106" t="str">
        <f>IF(AND(入力!G17&gt;=B25,入力!G17&lt;B26),0,"")</f>
        <v/>
      </c>
      <c r="E25" s="106" t="str">
        <f>IF(AND(入力!G18&gt;=B25,入力!G18&lt;B26),0,"")</f>
        <v/>
      </c>
      <c r="F25" s="106" t="str">
        <f>IF(AND(入力!G19&gt;=B25,入力!G19&lt;B26),0,"")</f>
        <v/>
      </c>
      <c r="G25" s="106" t="str">
        <f>IF(AND(入力!G20&gt;=B25,入力!G20&lt;B26),0,"")</f>
        <v/>
      </c>
      <c r="H25" s="106" t="str">
        <f>IF(AND(入力!G21&gt;=B25,入力!G21&lt;B26),0,"")</f>
        <v/>
      </c>
      <c r="I25" s="106" t="str">
        <f>IF(AND(入力!G22&gt;=B25,入力!G22&lt;B26),0,"")</f>
        <v/>
      </c>
      <c r="J25" s="106" t="str">
        <f>IF(AND(入力!G23&gt;=B25,入力!G23&lt;B26),0,"")</f>
        <v/>
      </c>
      <c r="L25" s="120" t="s">
        <v>118</v>
      </c>
      <c r="M25" s="122">
        <f>IF(BB22="",0,BB22)</f>
        <v>0</v>
      </c>
      <c r="P25" s="348"/>
      <c r="Q25" s="137" t="s">
        <v>49</v>
      </c>
      <c r="R25" s="320">
        <f>BR27</f>
        <v>0</v>
      </c>
      <c r="S25" s="321"/>
      <c r="T25" s="322"/>
      <c r="U25" s="144" t="str">
        <f>IF(AND(R25&gt;0,COUNTIF($Z$50:$AV$50,"該当")&gt;0),"月割限度。調整前:"&amp;TEXT(ROUND(BR5,0),"#,##0"&amp;"円"),"")</f>
        <v/>
      </c>
      <c r="X25" s="351"/>
      <c r="Y25" s="353"/>
      <c r="Z25" s="162" t="s">
        <v>69</v>
      </c>
      <c r="AA25" s="170" t="s">
        <v>51</v>
      </c>
      <c r="AB25" s="170" t="s">
        <v>43</v>
      </c>
      <c r="AC25" s="170" t="s">
        <v>202</v>
      </c>
      <c r="AD25" s="323" t="s">
        <v>56</v>
      </c>
      <c r="AE25" s="324"/>
      <c r="BD25" s="1" t="s">
        <v>219</v>
      </c>
      <c r="BS25" s="145"/>
    </row>
    <row r="26" spans="1:71" ht="18.95" customHeight="1" x14ac:dyDescent="0.15">
      <c r="B26" s="102">
        <v>651000</v>
      </c>
      <c r="C26" s="106" t="str">
        <f>IF(AND(入力!G16&gt;=B26,入力!G16&lt;B27),入力!G16-650000,"")</f>
        <v/>
      </c>
      <c r="D26" s="106" t="str">
        <f>IF(AND(入力!G17&gt;=B26,入力!G17&lt;B27),入力!G17-650000,"")</f>
        <v/>
      </c>
      <c r="E26" s="106" t="str">
        <f>IF(AND(入力!G18&gt;=B26,入力!G18&lt;B27),入力!G18-650000,"")</f>
        <v/>
      </c>
      <c r="F26" s="106" t="str">
        <f>IF(AND(入力!G19&gt;=B26,入力!G19&lt;B27),入力!G19-650000,"")</f>
        <v/>
      </c>
      <c r="G26" s="106" t="str">
        <f>IF(AND(入力!G20&gt;=B26,入力!G20&lt;B27),入力!G20-650000,"")</f>
        <v/>
      </c>
      <c r="H26" s="106" t="str">
        <f>IF(AND(入力!G21&gt;=B26,入力!G21&lt;B27),入力!G21-650000,"")</f>
        <v/>
      </c>
      <c r="I26" s="106" t="str">
        <f>IF(AND(入力!G22&gt;=B26,入力!G22&lt;B27),入力!G22-650000,"")</f>
        <v/>
      </c>
      <c r="J26" s="106" t="str">
        <f>IF(AND(入力!G23&gt;=B26,入力!G23&lt;B27),入力!G23-650000,"")</f>
        <v/>
      </c>
      <c r="L26" s="120" t="s">
        <v>117</v>
      </c>
      <c r="M26" s="127">
        <f>COUNT(R4:R19)</f>
        <v>0</v>
      </c>
      <c r="P26" s="348"/>
      <c r="Q26" s="137" t="s">
        <v>52</v>
      </c>
      <c r="R26" s="320">
        <f>BR28</f>
        <v>0</v>
      </c>
      <c r="S26" s="321"/>
      <c r="T26" s="322"/>
      <c r="X26" s="149" t="str">
        <f>入力!E16</f>
        <v>世帯主</v>
      </c>
      <c r="Y26" s="155" t="str">
        <f>IF(B4="","",B4)</f>
        <v/>
      </c>
      <c r="Z26" s="163" t="str">
        <f t="shared" ref="Z26:Z33" si="18">IF(AL41="","",AL41)</f>
        <v/>
      </c>
      <c r="AA26" s="171" t="str">
        <f t="shared" ref="AA26:AA33" si="19">IF(AL55="","",AL55)</f>
        <v/>
      </c>
      <c r="AB26" s="171" t="str">
        <f t="shared" ref="AB26:AB33" si="20">IF(AL69="","",AL69)</f>
        <v/>
      </c>
      <c r="AC26" s="171" t="str">
        <f t="shared" ref="AC26:AC33" si="21">IF(AL83="","",AL83)</f>
        <v/>
      </c>
      <c r="AD26" s="325" t="str">
        <f t="shared" ref="AD26:AD33" si="22">IF(SUM(Z26:AC26)&gt;0,SUM(Z26:AC26),"")</f>
        <v/>
      </c>
      <c r="AE26" s="326"/>
      <c r="AG26" s="1" t="s">
        <v>45</v>
      </c>
      <c r="BD26" s="209" t="s">
        <v>171</v>
      </c>
      <c r="BE26" s="216">
        <f>IF(BE8&gt;ROUND(税率・条件!$C$8/12,2),ROUND(税率・条件!$C$8/12,2)-SUM(BE27:BE29),BE4)</f>
        <v>0</v>
      </c>
      <c r="BF26" s="216">
        <f>IF(BF8&gt;ROUNDDOWN(税率・条件!$C$8/12,2),ROUNDDOWN(税率・条件!$C$8/12,2)-SUM(BF27:BF29),BF4)</f>
        <v>0</v>
      </c>
      <c r="BG26" s="216">
        <f>IF(BG8&gt;ROUNDDOWN(税率・条件!$C$8/12,2),ROUNDDOWN(税率・条件!$C$8/12,2)-SUM(BG27:BG29),BG4)</f>
        <v>0</v>
      </c>
      <c r="BH26" s="216">
        <f>IF(BH8&gt;ROUNDDOWN(税率・条件!$C$8/12,2),ROUNDDOWN(税率・条件!$C$8/12,2)-SUM(BH27:BH29),BH4)</f>
        <v>0</v>
      </c>
      <c r="BI26" s="216">
        <f>IF(BI8&gt;ROUNDDOWN(税率・条件!$C$8/12,2),ROUNDDOWN(税率・条件!$C$8/12,2)-SUM(BI27:BI29),BI4)</f>
        <v>0</v>
      </c>
      <c r="BJ26" s="216">
        <f>IF(BJ8&gt;ROUNDDOWN(税率・条件!$C$8/12,2),ROUNDDOWN(税率・条件!$C$8/12,2)-SUM(BJ27:BJ29),BJ4)</f>
        <v>0</v>
      </c>
      <c r="BK26" s="216">
        <f>IF(BK8&gt;ROUNDDOWN(税率・条件!$C$8/12,2),ROUNDDOWN(税率・条件!$C$8/12,2)-SUM(BK27:BK29),BK4)</f>
        <v>0</v>
      </c>
      <c r="BL26" s="216">
        <f>IF(BL8&gt;ROUNDDOWN(税率・条件!$C$8/12,2),ROUNDDOWN(税率・条件!$C$8/12,2)-SUM(BL27:BL29),BL4)</f>
        <v>0</v>
      </c>
      <c r="BM26" s="216">
        <f>IF(BM8&gt;ROUNDDOWN(税率・条件!$C$8/12,2),ROUNDDOWN(税率・条件!$C$8/12,2)-SUM(BM27:BM29),BM4)</f>
        <v>0</v>
      </c>
      <c r="BN26" s="216">
        <f>IF(BN8&gt;ROUNDDOWN(税率・条件!$C$8/12,2),ROUNDDOWN(税率・条件!$C$8/12,2)-SUM(BN27:BN29),BN4)</f>
        <v>0</v>
      </c>
      <c r="BO26" s="216">
        <f>IF(BO8&gt;ROUNDDOWN(税率・条件!$C$8/12,2),ROUNDDOWN(税率・条件!$C$8/12,2)-SUM(BO27:BO29),BO4)</f>
        <v>0</v>
      </c>
      <c r="BP26" s="216">
        <f>IF(BP8&gt;ROUNDDOWN(税率・条件!$C$8/12,2),ROUNDDOWN(税率・条件!$C$8/12,2)-SUM(BP27:BP29),BP4)</f>
        <v>0</v>
      </c>
      <c r="BQ26" s="216">
        <f t="shared" ref="BQ26:BQ45" si="23">SUM(BE26:BP26)</f>
        <v>0</v>
      </c>
      <c r="BR26" s="231">
        <f>ROUND(BQ26,0)</f>
        <v>0</v>
      </c>
      <c r="BS26" s="145"/>
    </row>
    <row r="27" spans="1:71" ht="18.95" customHeight="1" x14ac:dyDescent="0.15">
      <c r="B27" s="102">
        <v>1900000</v>
      </c>
      <c r="C27" s="106" t="str">
        <f>IF(AND(入力!G16&gt;=B27,入力!G16&lt;B28),ROUNDDOWN(入力!G16/4,-3)*4*0.7-80000,"")</f>
        <v/>
      </c>
      <c r="D27" s="106" t="str">
        <f>IF(AND(入力!G17&gt;=B27,入力!G17&lt;B28),ROUNDDOWN(入力!G17/4,-3)*4*0.7-80000,"")</f>
        <v/>
      </c>
      <c r="E27" s="106" t="str">
        <f>IF(AND(入力!G18&gt;=B27,入力!G18&lt;B28),ROUNDDOWN(入力!G18/4,-3)*4*0.7-80000,"")</f>
        <v/>
      </c>
      <c r="F27" s="106" t="str">
        <f>IF(AND(入力!G19&gt;=B27,入力!G19&lt;B28),ROUNDDOWN(入力!G19/4,-3)*4*0.7-80000,"")</f>
        <v/>
      </c>
      <c r="G27" s="106" t="str">
        <f>IF(AND(入力!G20&gt;=B27,入力!G20&lt;B28),ROUNDDOWN(入力!G20/4,-3)*4*0.7-80000,"")</f>
        <v/>
      </c>
      <c r="H27" s="106" t="str">
        <f>IF(AND(入力!G21&gt;=B27,入力!G21&lt;B28),ROUNDDOWN(入力!G21/4,-3)*4*0.7-80000,"")</f>
        <v/>
      </c>
      <c r="I27" s="106" t="str">
        <f>IF(AND(入力!G22&gt;=B27,入力!G22&lt;B28),ROUNDDOWN(入力!G22/4,-3)*4*0.7-80000,"")</f>
        <v/>
      </c>
      <c r="J27" s="106" t="str">
        <f>IF(AND(入力!G23&gt;=B27,入力!G23&lt;B28),ROUNDDOWN(入力!G23/4,-3)*4*0.7-80000,"")</f>
        <v/>
      </c>
      <c r="L27" s="120" t="s">
        <v>80</v>
      </c>
      <c r="M27" s="128" t="str">
        <f>IF(M25=0,"",税率・条件!F5+IF(R20=0,0,(R20-1)*100000))</f>
        <v/>
      </c>
      <c r="O27" s="134"/>
      <c r="P27" s="348"/>
      <c r="Q27" s="137" t="s">
        <v>53</v>
      </c>
      <c r="R27" s="320">
        <f>BR29</f>
        <v>0</v>
      </c>
      <c r="S27" s="321"/>
      <c r="T27" s="322"/>
      <c r="X27" s="150" t="str">
        <f>入力!E17</f>
        <v>２</v>
      </c>
      <c r="Y27" s="156" t="str">
        <f>IF(B6="","",B6)</f>
        <v/>
      </c>
      <c r="Z27" s="163" t="str">
        <f t="shared" si="18"/>
        <v/>
      </c>
      <c r="AA27" s="171" t="str">
        <f t="shared" si="19"/>
        <v/>
      </c>
      <c r="AB27" s="171" t="str">
        <f t="shared" si="20"/>
        <v/>
      </c>
      <c r="AC27" s="171" t="str">
        <f t="shared" si="21"/>
        <v/>
      </c>
      <c r="AD27" s="325" t="str">
        <f t="shared" si="22"/>
        <v/>
      </c>
      <c r="AE27" s="326"/>
      <c r="AG27" s="1" t="s">
        <v>60</v>
      </c>
      <c r="BD27" s="210" t="s">
        <v>173</v>
      </c>
      <c r="BE27" s="217">
        <f>IF(BE8&gt;ROUND(税率・条件!$C$8/12,2),ROUND(((ROUND(税率・条件!$C$8/12,2))-SUM(BE28:BE29))/(BE8-SUM(BE6:BE7))*BE5,2),BE5)</f>
        <v>0</v>
      </c>
      <c r="BF27" s="217">
        <f>IF(BF8&gt;ROUNDDOWN(税率・条件!$C$8/12,2),ROUNDDOWN(((ROUNDDOWN(税率・条件!$C$8/12,2))-SUM(BF28:BF29))/(BF8-SUM(BF6:BF7))*BF5,2),BF5)</f>
        <v>0</v>
      </c>
      <c r="BG27" s="217">
        <f>IF(BG8&gt;ROUNDDOWN(税率・条件!$C$8/12,2),ROUNDDOWN(((ROUNDDOWN(税率・条件!$C$8/12,2))-SUM(BG28:BG29))/(BG8-SUM(BG6:BG7))*BG5,2),BG5)</f>
        <v>0</v>
      </c>
      <c r="BH27" s="217">
        <f>IF(BH8&gt;ROUNDDOWN(税率・条件!$C$8/12,2),ROUNDDOWN(((ROUNDDOWN(税率・条件!$C$8/12,2))-SUM(BH28:BH29))/(BH8-SUM(BH6:BH7))*BH5,2),BH5)</f>
        <v>0</v>
      </c>
      <c r="BI27" s="217">
        <f>IF(BI8&gt;ROUNDDOWN(税率・条件!$C$8/12,2),ROUNDDOWN(((ROUNDDOWN(税率・条件!$C$8/12,2))-SUM(BI28:BI29))/(BI8-SUM(BI6:BI7))*BI5,2),BI5)</f>
        <v>0</v>
      </c>
      <c r="BJ27" s="217">
        <f>IF(BJ8&gt;ROUNDDOWN(税率・条件!$C$8/12,2),ROUNDDOWN(((ROUNDDOWN(税率・条件!$C$8/12,2))-SUM(BJ28:BJ29))/(BJ8-SUM(BJ6:BJ7))*BJ5,2),BJ5)</f>
        <v>0</v>
      </c>
      <c r="BK27" s="217">
        <f>IF(BK8&gt;ROUNDDOWN(税率・条件!$C$8/12,2),ROUNDDOWN(((ROUNDDOWN(税率・条件!$C$8/12,2))-SUM(BK28:BK29))/(BK8-SUM(BK6:BK7))*BK5,2),BK5)</f>
        <v>0</v>
      </c>
      <c r="BL27" s="217">
        <f>IF(BL8&gt;ROUNDDOWN(税率・条件!$C$8/12,2),ROUNDDOWN(((ROUNDDOWN(税率・条件!$C$8/12,2))-SUM(BL28:BL29))/(BL8-SUM(BL6:BL7))*BL5,2),BL5)</f>
        <v>0</v>
      </c>
      <c r="BM27" s="217">
        <f>IF(BM8&gt;ROUNDDOWN(税率・条件!$C$8/12,2),ROUNDDOWN(((ROUNDDOWN(税率・条件!$C$8/12,2))-SUM(BM28:BM29))/(BM8-SUM(BM6:BM7))*BM5,2),BM5)</f>
        <v>0</v>
      </c>
      <c r="BN27" s="217">
        <f>IF(BN8&gt;ROUNDDOWN(税率・条件!$C$8/12,2),ROUNDDOWN(((ROUNDDOWN(税率・条件!$C$8/12,2))-SUM(BN28:BN29))/(BN8-SUM(BN6:BN7))*BN5,2),BN5)</f>
        <v>0</v>
      </c>
      <c r="BO27" s="217">
        <f>IF(BO8&gt;ROUNDDOWN(税率・条件!$C$8/12,2),ROUNDDOWN(((ROUNDDOWN(税率・条件!$C$8/12,2))-SUM(BO28:BO29))/(BO8-SUM(BO6:BO7))*BO5,2),BO5)</f>
        <v>0</v>
      </c>
      <c r="BP27" s="217">
        <f>IF(BP8&gt;ROUNDDOWN(税率・条件!$C$8/12,2),ROUNDDOWN(((ROUNDDOWN(税率・条件!$C$8/12,2))-SUM(BP28:BP29))/(BP8-SUM(BP6:BP7))*BP5,2),BP5)</f>
        <v>0</v>
      </c>
      <c r="BQ27" s="221">
        <f t="shared" si="23"/>
        <v>0</v>
      </c>
      <c r="BR27" s="232">
        <f>ROUND(BQ27,0)</f>
        <v>0</v>
      </c>
    </row>
    <row r="28" spans="1:71" ht="18.95" customHeight="1" x14ac:dyDescent="0.15">
      <c r="B28" s="102">
        <v>3600000</v>
      </c>
      <c r="C28" s="106" t="str">
        <f>IF(AND(入力!G16&gt;=B28,入力!G16&lt;B29),ROUNDDOWN(入力!G16/4,-3)*4*0.8-440000,"")</f>
        <v/>
      </c>
      <c r="D28" s="106" t="str">
        <f>IF(AND(入力!G17&gt;=B28,入力!G17&lt;B29),ROUNDDOWN(入力!G17/4,-3)*4*0.8-440000,"")</f>
        <v/>
      </c>
      <c r="E28" s="106" t="str">
        <f>IF(AND(入力!G18&gt;=B28,入力!G18&lt;B29),ROUNDDOWN(入力!G18/4,-3)*4*0.8-440000,"")</f>
        <v/>
      </c>
      <c r="F28" s="106" t="str">
        <f>IF(AND(入力!G19&gt;=B28,入力!G19&lt;B29),ROUNDDOWN(入力!G19/4,-3)*4*0.8-440000,"")</f>
        <v/>
      </c>
      <c r="G28" s="106" t="str">
        <f>IF(AND(入力!G20&gt;=B28,入力!G20&lt;B29),ROUNDDOWN(入力!G20/4,-3)*4*0.8-440000,"")</f>
        <v/>
      </c>
      <c r="H28" s="106" t="str">
        <f>IF(AND(入力!G21&gt;=B28,入力!G21&lt;B29),ROUNDDOWN(入力!G21/4,-3)*4*0.8-440000,"")</f>
        <v/>
      </c>
      <c r="I28" s="106" t="str">
        <f>IF(AND(入力!G22&gt;=B28,入力!G22&lt;B29),ROUNDDOWN(入力!G22/4,-3)*4*0.8-440000,"")</f>
        <v/>
      </c>
      <c r="J28" s="106" t="str">
        <f>IF(AND(入力!G23&gt;=B28,入力!G23&lt;B29),ROUNDDOWN(入力!G23/4,-3)*4*0.8-440000,"")</f>
        <v/>
      </c>
      <c r="L28" s="120" t="s">
        <v>77</v>
      </c>
      <c r="M28" s="129" t="str">
        <f>IF(M25=0,"",税率・条件!F6+IF(M26=0,0,(M26-1)*100000)+税率・条件!G6*M25)</f>
        <v/>
      </c>
      <c r="O28" s="121"/>
      <c r="P28" s="349"/>
      <c r="Q28" s="138" t="s">
        <v>56</v>
      </c>
      <c r="R28" s="327">
        <f>ROUNDDOWN(SUM(R24:T27),-2)</f>
        <v>0</v>
      </c>
      <c r="S28" s="328"/>
      <c r="T28" s="329"/>
      <c r="U28" s="145" t="str">
        <f>IF(SUM(R24:T27)-R28=0,"","※100円未満("&amp;SUM(R24:T27)-R28&amp;"円)切捨て")</f>
        <v/>
      </c>
      <c r="X28" s="150" t="str">
        <f>入力!E18</f>
        <v>３</v>
      </c>
      <c r="Y28" s="156" t="str">
        <f>IF(B8="","",B8)</f>
        <v/>
      </c>
      <c r="Z28" s="163" t="str">
        <f t="shared" si="18"/>
        <v/>
      </c>
      <c r="AA28" s="171" t="str">
        <f t="shared" si="19"/>
        <v/>
      </c>
      <c r="AB28" s="171" t="str">
        <f t="shared" si="20"/>
        <v/>
      </c>
      <c r="AC28" s="171" t="str">
        <f t="shared" si="21"/>
        <v/>
      </c>
      <c r="AD28" s="325" t="str">
        <f t="shared" si="22"/>
        <v/>
      </c>
      <c r="AE28" s="326"/>
      <c r="AG28" s="1" t="s">
        <v>71</v>
      </c>
      <c r="BD28" s="210" t="s">
        <v>175</v>
      </c>
      <c r="BE28" s="217">
        <f t="shared" ref="BE28:BP29" si="24">BE6</f>
        <v>0</v>
      </c>
      <c r="BF28" s="217">
        <f t="shared" si="24"/>
        <v>0</v>
      </c>
      <c r="BG28" s="217">
        <f t="shared" si="24"/>
        <v>0</v>
      </c>
      <c r="BH28" s="217">
        <f t="shared" si="24"/>
        <v>0</v>
      </c>
      <c r="BI28" s="217">
        <f t="shared" si="24"/>
        <v>0</v>
      </c>
      <c r="BJ28" s="217">
        <f t="shared" si="24"/>
        <v>0</v>
      </c>
      <c r="BK28" s="217">
        <f t="shared" si="24"/>
        <v>0</v>
      </c>
      <c r="BL28" s="217">
        <f t="shared" si="24"/>
        <v>0</v>
      </c>
      <c r="BM28" s="217">
        <f t="shared" si="24"/>
        <v>0</v>
      </c>
      <c r="BN28" s="217">
        <f t="shared" si="24"/>
        <v>0</v>
      </c>
      <c r="BO28" s="217">
        <f t="shared" si="24"/>
        <v>0</v>
      </c>
      <c r="BP28" s="217">
        <f t="shared" si="24"/>
        <v>0</v>
      </c>
      <c r="BQ28" s="221">
        <f t="shared" si="23"/>
        <v>0</v>
      </c>
      <c r="BR28" s="232">
        <f>BR30-BR26-BR27-BR29</f>
        <v>0</v>
      </c>
      <c r="BS28" s="145" t="str">
        <f>IF(ROUND(BQ28,0)=BR28,"","←調整後数値")</f>
        <v/>
      </c>
    </row>
    <row r="29" spans="1:71" ht="18.95" customHeight="1" x14ac:dyDescent="0.15">
      <c r="B29" s="102">
        <v>6600000</v>
      </c>
      <c r="C29" s="106" t="str">
        <f>IF(AND(入力!G16&gt;=B29,入力!G16&lt;B30),入力!G16*0.9-1100000,"")</f>
        <v/>
      </c>
      <c r="D29" s="106" t="str">
        <f>IF(AND(入力!G17&gt;=B29,入力!G17&lt;B30),入力!G17*0.9-1100000,"")</f>
        <v/>
      </c>
      <c r="E29" s="106" t="str">
        <f>IF(AND(入力!G18&gt;=B29,入力!G18&lt;B30),入力!G18*0.9-1100000,"")</f>
        <v/>
      </c>
      <c r="F29" s="106" t="str">
        <f>IF(AND(入力!G19&gt;=B29,入力!G19&lt;B30),入力!G19*0.9-1100000,"")</f>
        <v/>
      </c>
      <c r="G29" s="106" t="str">
        <f>IF(AND(入力!G20&gt;=B29,入力!G20&lt;B30),入力!G20*0.9-1100000,"")</f>
        <v/>
      </c>
      <c r="H29" s="106" t="str">
        <f>IF(AND(入力!G21&gt;=B29,入力!G21&lt;B30),入力!G21*0.9-1100000,"")</f>
        <v/>
      </c>
      <c r="I29" s="106" t="str">
        <f>IF(AND(入力!G22&gt;=B29,入力!G22&lt;B30),入力!G22*0.9-1100000,"")</f>
        <v/>
      </c>
      <c r="J29" s="106" t="str">
        <f>IF(AND(入力!G23&gt;=B29,入力!G23&lt;B30),入力!G23*0.9-1100000,"")</f>
        <v/>
      </c>
      <c r="L29" s="120" t="s">
        <v>75</v>
      </c>
      <c r="M29" s="129" t="str">
        <f>IF(M25=0,"",税率・条件!F7+IF(M26=0,0,(M26-1)*100000)+税率・条件!G7*M25)</f>
        <v/>
      </c>
      <c r="O29" s="121"/>
      <c r="P29" s="347" t="s">
        <v>216</v>
      </c>
      <c r="Q29" s="139" t="s">
        <v>46</v>
      </c>
      <c r="R29" s="330">
        <f>BR31</f>
        <v>0</v>
      </c>
      <c r="S29" s="331"/>
      <c r="T29" s="332"/>
      <c r="U29" s="144" t="str">
        <f>IF(AND(R29&gt;0,COUNTIF($Z$64:$AV$64,"該当")&gt;0),"月割限度。調整前:"&amp;TEXT(ROUND(BR9,0),"#,##0"&amp;"円"),"")</f>
        <v/>
      </c>
      <c r="X29" s="150" t="str">
        <f>入力!E19</f>
        <v>４</v>
      </c>
      <c r="Y29" s="156" t="str">
        <f>IF(B10="","",B10)</f>
        <v/>
      </c>
      <c r="Z29" s="163" t="str">
        <f t="shared" si="18"/>
        <v/>
      </c>
      <c r="AA29" s="171" t="str">
        <f t="shared" si="19"/>
        <v/>
      </c>
      <c r="AB29" s="171" t="str">
        <f t="shared" si="20"/>
        <v/>
      </c>
      <c r="AC29" s="171" t="str">
        <f t="shared" si="21"/>
        <v/>
      </c>
      <c r="AD29" s="325" t="str">
        <f t="shared" si="22"/>
        <v/>
      </c>
      <c r="AE29" s="326"/>
      <c r="AG29" s="1" t="s">
        <v>73</v>
      </c>
      <c r="BD29" s="210" t="s">
        <v>176</v>
      </c>
      <c r="BE29" s="217">
        <f t="shared" si="24"/>
        <v>0</v>
      </c>
      <c r="BF29" s="217">
        <f t="shared" si="24"/>
        <v>0</v>
      </c>
      <c r="BG29" s="217">
        <f t="shared" si="24"/>
        <v>0</v>
      </c>
      <c r="BH29" s="217">
        <f t="shared" si="24"/>
        <v>0</v>
      </c>
      <c r="BI29" s="217">
        <f t="shared" si="24"/>
        <v>0</v>
      </c>
      <c r="BJ29" s="217">
        <f t="shared" si="24"/>
        <v>0</v>
      </c>
      <c r="BK29" s="217">
        <f t="shared" si="24"/>
        <v>0</v>
      </c>
      <c r="BL29" s="217">
        <f t="shared" si="24"/>
        <v>0</v>
      </c>
      <c r="BM29" s="217">
        <f t="shared" si="24"/>
        <v>0</v>
      </c>
      <c r="BN29" s="217">
        <f t="shared" si="24"/>
        <v>0</v>
      </c>
      <c r="BO29" s="217">
        <f t="shared" si="24"/>
        <v>0</v>
      </c>
      <c r="BP29" s="217">
        <f t="shared" si="24"/>
        <v>0</v>
      </c>
      <c r="BQ29" s="221">
        <f t="shared" si="23"/>
        <v>0</v>
      </c>
      <c r="BR29" s="232">
        <f>ROUND(BQ29,0)</f>
        <v>0</v>
      </c>
    </row>
    <row r="30" spans="1:71" ht="18.95" customHeight="1" x14ac:dyDescent="0.15">
      <c r="B30" s="102">
        <v>8500000</v>
      </c>
      <c r="C30" s="106" t="str">
        <f>IF(入力!G16&gt;=B30,入力!G16-1950000,"")</f>
        <v/>
      </c>
      <c r="D30" s="106" t="str">
        <f>IF(入力!G17&gt;=B30,入力!G17-1950000,"")</f>
        <v/>
      </c>
      <c r="E30" s="106" t="str">
        <f>IF(入力!G18&gt;=B30,入力!G18-1950000,"")</f>
        <v/>
      </c>
      <c r="F30" s="106" t="str">
        <f>IF(入力!G19&gt;=B30,入力!G19-1950000,"")</f>
        <v/>
      </c>
      <c r="G30" s="106" t="str">
        <f>IF(入力!G20&gt;=B30,入力!G20-1950000,"")</f>
        <v/>
      </c>
      <c r="H30" s="106" t="str">
        <f>IF(入力!G21&gt;=B30,入力!G21-1950000,"")</f>
        <v/>
      </c>
      <c r="I30" s="106" t="str">
        <f>IF(入力!G22&gt;=B30,入力!G22-1950000,"")</f>
        <v/>
      </c>
      <c r="J30" s="106" t="str">
        <f>IF(入力!G23&gt;=B30,入力!G23-1950000,"")</f>
        <v/>
      </c>
      <c r="L30" s="121"/>
      <c r="M30" s="121"/>
      <c r="O30" s="121"/>
      <c r="P30" s="348"/>
      <c r="Q30" s="137" t="s">
        <v>49</v>
      </c>
      <c r="R30" s="320">
        <f>BR32</f>
        <v>0</v>
      </c>
      <c r="S30" s="321"/>
      <c r="T30" s="322"/>
      <c r="U30" s="144" t="str">
        <f>IF(AND(R30&gt;0,COUNTA($Z$78:$AV$78)&gt;0),"月割限度。調整前:"&amp;TEXT(ROUND(BR10,0),"#,##0"&amp;"円"),"")</f>
        <v/>
      </c>
      <c r="X30" s="150" t="str">
        <f>入力!E20</f>
        <v>５</v>
      </c>
      <c r="Y30" s="156" t="str">
        <f>IF(B12="","",B12)</f>
        <v/>
      </c>
      <c r="Z30" s="163" t="str">
        <f t="shared" si="18"/>
        <v/>
      </c>
      <c r="AA30" s="171" t="str">
        <f t="shared" si="19"/>
        <v/>
      </c>
      <c r="AB30" s="171" t="str">
        <f t="shared" si="20"/>
        <v/>
      </c>
      <c r="AC30" s="171" t="str">
        <f t="shared" si="21"/>
        <v/>
      </c>
      <c r="AD30" s="325" t="str">
        <f t="shared" si="22"/>
        <v/>
      </c>
      <c r="AE30" s="326"/>
      <c r="BD30" s="211" t="s">
        <v>185</v>
      </c>
      <c r="BE30" s="220">
        <f t="shared" ref="BE30:BP30" si="25">SUM(BE26:BE29)</f>
        <v>0</v>
      </c>
      <c r="BF30" s="220">
        <f t="shared" si="25"/>
        <v>0</v>
      </c>
      <c r="BG30" s="220">
        <f t="shared" si="25"/>
        <v>0</v>
      </c>
      <c r="BH30" s="220">
        <f t="shared" si="25"/>
        <v>0</v>
      </c>
      <c r="BI30" s="220">
        <f t="shared" si="25"/>
        <v>0</v>
      </c>
      <c r="BJ30" s="220">
        <f t="shared" si="25"/>
        <v>0</v>
      </c>
      <c r="BK30" s="220">
        <f t="shared" si="25"/>
        <v>0</v>
      </c>
      <c r="BL30" s="220">
        <f t="shared" si="25"/>
        <v>0</v>
      </c>
      <c r="BM30" s="220">
        <f t="shared" si="25"/>
        <v>0</v>
      </c>
      <c r="BN30" s="220">
        <f t="shared" si="25"/>
        <v>0</v>
      </c>
      <c r="BO30" s="220">
        <f t="shared" si="25"/>
        <v>0</v>
      </c>
      <c r="BP30" s="220">
        <f t="shared" si="25"/>
        <v>0</v>
      </c>
      <c r="BQ30" s="218">
        <f t="shared" si="23"/>
        <v>0</v>
      </c>
      <c r="BR30" s="233">
        <f>ROUND(BQ30,0)</f>
        <v>0</v>
      </c>
    </row>
    <row r="31" spans="1:71" ht="18.95" customHeight="1" x14ac:dyDescent="0.15">
      <c r="L31" s="410" t="s">
        <v>55</v>
      </c>
      <c r="M31" s="412">
        <f>SUM(Q4:Q19)</f>
        <v>0</v>
      </c>
      <c r="O31" s="134"/>
      <c r="P31" s="348"/>
      <c r="Q31" s="137" t="s">
        <v>52</v>
      </c>
      <c r="R31" s="320">
        <f>BR33</f>
        <v>0</v>
      </c>
      <c r="S31" s="321"/>
      <c r="T31" s="322"/>
      <c r="X31" s="150" t="str">
        <f>入力!E21</f>
        <v>６</v>
      </c>
      <c r="Y31" s="156" t="str">
        <f>IF(B14="","",B14)</f>
        <v/>
      </c>
      <c r="Z31" s="163" t="str">
        <f t="shared" si="18"/>
        <v/>
      </c>
      <c r="AA31" s="171" t="str">
        <f t="shared" si="19"/>
        <v/>
      </c>
      <c r="AB31" s="171" t="str">
        <f t="shared" si="20"/>
        <v/>
      </c>
      <c r="AC31" s="171" t="str">
        <f t="shared" si="21"/>
        <v/>
      </c>
      <c r="AD31" s="325" t="str">
        <f t="shared" si="22"/>
        <v/>
      </c>
      <c r="AE31" s="326"/>
      <c r="BD31" s="209" t="s">
        <v>177</v>
      </c>
      <c r="BE31" s="216">
        <f>IF(BE13&gt;ROUNDDOWN(税率・条件!$C$13/12,2),ROUNDDOWN(税率・条件!$C$13/12,2)-SUM(BE32:BE34),BE9)</f>
        <v>0</v>
      </c>
      <c r="BF31" s="216">
        <f>IF(BF13&gt;ROUNDDOWN(税率・条件!$C$13/12,2),ROUNDDOWN(税率・条件!$C$13/12,2)-SUM(BF32:BF34),BF9)</f>
        <v>0</v>
      </c>
      <c r="BG31" s="216">
        <f>IF(BG13&gt;ROUNDDOWN(税率・条件!$C$13/12,2),ROUNDDOWN(税率・条件!$C$13/12,2)-SUM(BG32:BG34),BG9)</f>
        <v>0</v>
      </c>
      <c r="BH31" s="216">
        <f>IF(BH13&gt;ROUNDDOWN(税率・条件!$C$13/12,2),ROUNDDOWN(税率・条件!$C$13/12,2)-SUM(BH32:BH34),BH9)</f>
        <v>0</v>
      </c>
      <c r="BI31" s="216">
        <f>IF(BI13&gt;ROUNDDOWN(税率・条件!$C$13/12,2),ROUNDDOWN(税率・条件!$C$13/12,2)-SUM(BI32:BI34),BI9)</f>
        <v>0</v>
      </c>
      <c r="BJ31" s="216">
        <f>IF(BJ13&gt;ROUNDDOWN(税率・条件!$C$13/12,2),ROUNDDOWN(税率・条件!$C$13/12,2)-SUM(BJ32:BJ34),BJ9)</f>
        <v>0</v>
      </c>
      <c r="BK31" s="216">
        <f>IF(BK13&gt;ROUNDDOWN(税率・条件!$C$13/12,2),ROUNDDOWN(税率・条件!$C$13/12,2)-SUM(BK32:BK34),BK9)</f>
        <v>0</v>
      </c>
      <c r="BL31" s="216">
        <f>IF(BL13&gt;ROUNDDOWN(税率・条件!$C$13/12,2),ROUNDDOWN(税率・条件!$C$13/12,2)-SUM(BL32:BL34),BL9)</f>
        <v>0</v>
      </c>
      <c r="BM31" s="216">
        <f>IF(BM13&gt;ROUNDDOWN(税率・条件!$C$13/12,2),ROUNDDOWN(税率・条件!$C$13/12,2)-SUM(BM32:BM34),BM9)</f>
        <v>0</v>
      </c>
      <c r="BN31" s="216">
        <f>IF(BN13&gt;ROUNDDOWN(税率・条件!$C$13/12,2),ROUNDDOWN(税率・条件!$C$13/12,2)-SUM(BN32:BN34),BN9)</f>
        <v>0</v>
      </c>
      <c r="BO31" s="216">
        <f>IF(BO13&gt;ROUNDDOWN(税率・条件!$C$13/12,2),ROUNDDOWN(税率・条件!$C$13/12,2)-SUM(BO32:BO34),BO9)</f>
        <v>0</v>
      </c>
      <c r="BP31" s="216">
        <f>IF(BP13&gt;ROUNDDOWN(税率・条件!$C$13/12,2),ROUNDDOWN(税率・条件!$C$13/12,2)-SUM(BP32:BP34),BP9)</f>
        <v>0</v>
      </c>
      <c r="BQ31" s="216">
        <f t="shared" si="23"/>
        <v>0</v>
      </c>
      <c r="BR31" s="231">
        <f>ROUND(BQ31,0)</f>
        <v>0</v>
      </c>
      <c r="BS31" s="145"/>
    </row>
    <row r="32" spans="1:71" ht="18.95" customHeight="1" x14ac:dyDescent="0.15">
      <c r="B32" s="1" t="s">
        <v>119</v>
      </c>
      <c r="L32" s="411"/>
      <c r="M32" s="411"/>
      <c r="O32" s="121"/>
      <c r="P32" s="348"/>
      <c r="Q32" s="137" t="s">
        <v>53</v>
      </c>
      <c r="R32" s="320">
        <f>BR34</f>
        <v>0</v>
      </c>
      <c r="S32" s="321"/>
      <c r="T32" s="322"/>
      <c r="X32" s="150" t="str">
        <f>入力!E22</f>
        <v>７</v>
      </c>
      <c r="Y32" s="156" t="str">
        <f>IF(B16="","",B16)</f>
        <v/>
      </c>
      <c r="Z32" s="163" t="str">
        <f t="shared" si="18"/>
        <v/>
      </c>
      <c r="AA32" s="171" t="str">
        <f t="shared" si="19"/>
        <v/>
      </c>
      <c r="AB32" s="171" t="str">
        <f t="shared" si="20"/>
        <v/>
      </c>
      <c r="AC32" s="171" t="str">
        <f t="shared" si="21"/>
        <v/>
      </c>
      <c r="AD32" s="325" t="str">
        <f t="shared" si="22"/>
        <v/>
      </c>
      <c r="AE32" s="326"/>
      <c r="BD32" s="210" t="s">
        <v>178</v>
      </c>
      <c r="BE32" s="221">
        <f>IF(BE13&gt;ROUNDDOWN(税率・条件!$C$13/12,2),ROUNDDOWN(((ROUNDDOWN(税率・条件!$C$13/12,2))-SUM(BE33:BE34))/(BE13-SUM(BE11:BE12))*BE10,2),BE10)</f>
        <v>0</v>
      </c>
      <c r="BF32" s="221">
        <f>IF(BF13&gt;ROUNDDOWN(税率・条件!$C$13/12,2),ROUNDDOWN(((ROUNDDOWN(税率・条件!$C$13/12,2))-SUM(BF33:BF34))/(BF13-SUM(BF11:BF12))*BF10,2),BF10)</f>
        <v>0</v>
      </c>
      <c r="BG32" s="221">
        <f>IF(BG13&gt;ROUNDDOWN(税率・条件!$C$13/12,2),ROUNDDOWN(((ROUNDDOWN(税率・条件!$C$13/12,2))-SUM(BG33:BG34))/(BG13-SUM(BG11:BG12))*BG10,2),BG10)</f>
        <v>0</v>
      </c>
      <c r="BH32" s="221">
        <f>IF(BH13&gt;ROUNDDOWN(税率・条件!$C$13/12,2),ROUNDDOWN(((ROUNDDOWN(税率・条件!$C$13/12,2))-SUM(BH33:BH34))/(BH13-SUM(BH11:BH12))*BH10,2),BH10)</f>
        <v>0</v>
      </c>
      <c r="BI32" s="221">
        <f>IF(BI13&gt;ROUNDDOWN(税率・条件!$C$13/12,2),ROUNDDOWN(((ROUNDDOWN(税率・条件!$C$13/12,2))-SUM(BI33:BI34))/(BI13-SUM(BI11:BI12))*BI10,2),BI10)</f>
        <v>0</v>
      </c>
      <c r="BJ32" s="221">
        <f>IF(BJ13&gt;ROUNDDOWN(税率・条件!$C$13/12,2),ROUNDDOWN(((ROUNDDOWN(税率・条件!$C$13/12,2))-SUM(BJ33:BJ34))/(BJ13-SUM(BJ11:BJ12))*BJ10,2),BJ10)</f>
        <v>0</v>
      </c>
      <c r="BK32" s="221">
        <f>IF(BK13&gt;ROUNDDOWN(税率・条件!$C$13/12,2),ROUNDDOWN(((ROUNDDOWN(税率・条件!$C$13/12,2))-SUM(BK33:BK34))/(BK13-SUM(BK11:BK12))*BK10,2),BK10)</f>
        <v>0</v>
      </c>
      <c r="BL32" s="221">
        <f>IF(BL13&gt;ROUNDDOWN(税率・条件!$C$13/12,2),ROUNDDOWN(((ROUNDDOWN(税率・条件!$C$13/12,2))-SUM(BL33:BL34))/(BL13-SUM(BL11:BL12))*BL10,2),BL10)</f>
        <v>0</v>
      </c>
      <c r="BM32" s="221">
        <f>IF(BM13&gt;ROUNDDOWN(税率・条件!$C$13/12,2),ROUNDDOWN(((ROUNDDOWN(税率・条件!$C$13/12,2))-SUM(BM33:BM34))/(BM13-SUM(BM11:BM12))*BM10,2),BM10)</f>
        <v>0</v>
      </c>
      <c r="BN32" s="221">
        <f>IF(BN13&gt;ROUNDDOWN(税率・条件!$C$13/12,2),ROUNDDOWN(((ROUNDDOWN(税率・条件!$C$13/12,2))-SUM(BN33:BN34))/(BN13-SUM(BN11:BN12))*BN10,2),BN10)</f>
        <v>0</v>
      </c>
      <c r="BO32" s="221">
        <f>IF(BO13&gt;ROUNDDOWN(税率・条件!$C$13/12,2),ROUNDDOWN(((ROUNDDOWN(税率・条件!$C$13/12,2))-SUM(BO33:BO34))/(BO13-SUM(BO11:BO12))*BO10,2),BO10)</f>
        <v>0</v>
      </c>
      <c r="BP32" s="221">
        <f>IF(BP13&gt;ROUNDDOWN(税率・条件!$C$13/12,2),ROUNDDOWN(((ROUNDDOWN(税率・条件!$C$13/12,2))-SUM(BP33:BP34))/(BP13-SUM(BP11:BP12))*BP10,2),BP10)</f>
        <v>0</v>
      </c>
      <c r="BQ32" s="221">
        <f t="shared" si="23"/>
        <v>0</v>
      </c>
      <c r="BR32" s="232">
        <f>ROUND(BQ32,0)</f>
        <v>0</v>
      </c>
    </row>
    <row r="33" spans="2:71" ht="18.95" customHeight="1" x14ac:dyDescent="0.15">
      <c r="B33" s="1" t="s">
        <v>44</v>
      </c>
      <c r="L33" s="122" t="s">
        <v>27</v>
      </c>
      <c r="M33" s="130" t="str">
        <f>IF(入力!C19="全員申告済み","申告有","未申告")</f>
        <v>未申告</v>
      </c>
      <c r="O33" s="121"/>
      <c r="P33" s="349"/>
      <c r="Q33" s="140" t="s">
        <v>56</v>
      </c>
      <c r="R33" s="327">
        <f>ROUNDDOWN(SUM(R29:T32),-2)</f>
        <v>0</v>
      </c>
      <c r="S33" s="328"/>
      <c r="T33" s="329"/>
      <c r="U33" s="145" t="str">
        <f>IF(SUM(R29:T32)-R33=0,"","※100円未満("&amp;SUM(R29:T32)-R33&amp;"円)切捨て")</f>
        <v/>
      </c>
      <c r="X33" s="151" t="str">
        <f>入力!E23</f>
        <v>８</v>
      </c>
      <c r="Y33" s="157" t="str">
        <f>IF(B18="","",B18)</f>
        <v/>
      </c>
      <c r="Z33" s="164" t="str">
        <f t="shared" si="18"/>
        <v/>
      </c>
      <c r="AA33" s="172" t="str">
        <f t="shared" si="19"/>
        <v/>
      </c>
      <c r="AB33" s="172" t="str">
        <f t="shared" si="20"/>
        <v/>
      </c>
      <c r="AC33" s="172" t="str">
        <f t="shared" si="21"/>
        <v/>
      </c>
      <c r="AD33" s="333" t="str">
        <f t="shared" si="22"/>
        <v/>
      </c>
      <c r="AE33" s="334"/>
      <c r="BD33" s="210" t="s">
        <v>179</v>
      </c>
      <c r="BE33" s="221">
        <f t="shared" ref="BE33:BP34" si="26">BE11</f>
        <v>0</v>
      </c>
      <c r="BF33" s="221">
        <f t="shared" si="26"/>
        <v>0</v>
      </c>
      <c r="BG33" s="221">
        <f t="shared" si="26"/>
        <v>0</v>
      </c>
      <c r="BH33" s="221">
        <f t="shared" si="26"/>
        <v>0</v>
      </c>
      <c r="BI33" s="221">
        <f t="shared" si="26"/>
        <v>0</v>
      </c>
      <c r="BJ33" s="221">
        <f t="shared" si="26"/>
        <v>0</v>
      </c>
      <c r="BK33" s="221">
        <f t="shared" si="26"/>
        <v>0</v>
      </c>
      <c r="BL33" s="221">
        <f t="shared" si="26"/>
        <v>0</v>
      </c>
      <c r="BM33" s="221">
        <f t="shared" si="26"/>
        <v>0</v>
      </c>
      <c r="BN33" s="221">
        <f t="shared" si="26"/>
        <v>0</v>
      </c>
      <c r="BO33" s="221">
        <f t="shared" si="26"/>
        <v>0</v>
      </c>
      <c r="BP33" s="221">
        <f t="shared" si="26"/>
        <v>0</v>
      </c>
      <c r="BQ33" s="221">
        <f t="shared" si="23"/>
        <v>0</v>
      </c>
      <c r="BR33" s="232">
        <f>BR35-BR31-BR32-BR34</f>
        <v>0</v>
      </c>
      <c r="BS33" s="145" t="str">
        <f>IF(ROUND(BQ33,0)=BR33,"","←調整後数値")</f>
        <v/>
      </c>
    </row>
    <row r="34" spans="2:71" ht="18.95" customHeight="1" x14ac:dyDescent="0.15">
      <c r="B34" s="101" t="s">
        <v>15</v>
      </c>
      <c r="C34" s="107" t="s">
        <v>35</v>
      </c>
      <c r="D34" s="107" t="s">
        <v>30</v>
      </c>
      <c r="L34" s="123" t="s">
        <v>5</v>
      </c>
      <c r="M34" s="131">
        <f>IF(M35&lt;&gt;"",M35,IF(M33="未申告",0%,IF(M31&lt;=M27,70%,IF(M31&lt;=M28,50%,IF(M31&lt;=M29,20%,0%)))))</f>
        <v>0</v>
      </c>
      <c r="O34" s="121"/>
      <c r="P34" s="347" t="s">
        <v>217</v>
      </c>
      <c r="Q34" s="139" t="s">
        <v>46</v>
      </c>
      <c r="R34" s="330">
        <f>BR36</f>
        <v>0</v>
      </c>
      <c r="S34" s="331"/>
      <c r="T34" s="332"/>
      <c r="U34" s="144" t="str">
        <f>IF(AND(R34&gt;0,COUNTIF($Z$78:$AV$78,"該当")&gt;0),"月割限度。調整前:"&amp;TEXT(ROUND(BR14,0),"#,##0"&amp;"円"),"")</f>
        <v/>
      </c>
      <c r="Z34" s="133">
        <f>SUM(Z26:Z33)</f>
        <v>0</v>
      </c>
      <c r="AA34" s="133">
        <f>SUM(AA26:AA33)</f>
        <v>0</v>
      </c>
      <c r="AB34" s="133">
        <f>SUM(AB26:AB33)</f>
        <v>0</v>
      </c>
      <c r="AC34" s="133">
        <f>SUM(AC26:AC33)</f>
        <v>0</v>
      </c>
      <c r="AD34" s="335">
        <f>SUM(AD26:AD33)</f>
        <v>0</v>
      </c>
      <c r="AE34" s="336"/>
      <c r="BD34" s="210" t="s">
        <v>174</v>
      </c>
      <c r="BE34" s="221">
        <f t="shared" si="26"/>
        <v>0</v>
      </c>
      <c r="BF34" s="221">
        <f t="shared" si="26"/>
        <v>0</v>
      </c>
      <c r="BG34" s="221">
        <f t="shared" si="26"/>
        <v>0</v>
      </c>
      <c r="BH34" s="221">
        <f t="shared" si="26"/>
        <v>0</v>
      </c>
      <c r="BI34" s="221">
        <f t="shared" si="26"/>
        <v>0</v>
      </c>
      <c r="BJ34" s="221">
        <f t="shared" si="26"/>
        <v>0</v>
      </c>
      <c r="BK34" s="221">
        <f t="shared" si="26"/>
        <v>0</v>
      </c>
      <c r="BL34" s="221">
        <f t="shared" si="26"/>
        <v>0</v>
      </c>
      <c r="BM34" s="221">
        <f t="shared" si="26"/>
        <v>0</v>
      </c>
      <c r="BN34" s="221">
        <f t="shared" si="26"/>
        <v>0</v>
      </c>
      <c r="BO34" s="221">
        <f t="shared" si="26"/>
        <v>0</v>
      </c>
      <c r="BP34" s="221">
        <f t="shared" si="26"/>
        <v>0</v>
      </c>
      <c r="BQ34" s="221">
        <f t="shared" si="23"/>
        <v>0</v>
      </c>
      <c r="BR34" s="232">
        <f>ROUND(BQ34,0)</f>
        <v>0</v>
      </c>
    </row>
    <row r="35" spans="2:71" ht="18.95" customHeight="1" x14ac:dyDescent="0.15">
      <c r="B35" s="102">
        <v>1</v>
      </c>
      <c r="C35" s="101">
        <v>100</v>
      </c>
      <c r="D35" s="102">
        <v>600000</v>
      </c>
      <c r="L35" s="124" t="s">
        <v>85</v>
      </c>
      <c r="M35" s="132"/>
      <c r="O35" s="134"/>
      <c r="P35" s="348"/>
      <c r="Q35" s="137" t="s">
        <v>49</v>
      </c>
      <c r="R35" s="320">
        <f>BR37</f>
        <v>0</v>
      </c>
      <c r="S35" s="321"/>
      <c r="T35" s="322"/>
      <c r="U35" s="144" t="str">
        <f>IF(AND(R35&gt;0,COUNTIF($Z$78:$AV$78,"該当")&gt;0),"月割限度。調整前:"&amp;TEXT(ROUND(BR15,0),"#,##0"&amp;"円"),"")</f>
        <v/>
      </c>
      <c r="Y35" s="158"/>
      <c r="Z35" s="165"/>
      <c r="AA35" s="165"/>
      <c r="AB35" s="165"/>
      <c r="AC35" s="335"/>
      <c r="AD35" s="336"/>
      <c r="BD35" s="211" t="s">
        <v>185</v>
      </c>
      <c r="BE35" s="218">
        <f t="shared" ref="BE35:BP35" si="27">SUM(BE31:BE34)</f>
        <v>0</v>
      </c>
      <c r="BF35" s="218">
        <f t="shared" si="27"/>
        <v>0</v>
      </c>
      <c r="BG35" s="218">
        <f t="shared" si="27"/>
        <v>0</v>
      </c>
      <c r="BH35" s="218">
        <f t="shared" si="27"/>
        <v>0</v>
      </c>
      <c r="BI35" s="218">
        <f t="shared" si="27"/>
        <v>0</v>
      </c>
      <c r="BJ35" s="218">
        <f t="shared" si="27"/>
        <v>0</v>
      </c>
      <c r="BK35" s="218">
        <f t="shared" si="27"/>
        <v>0</v>
      </c>
      <c r="BL35" s="218">
        <f t="shared" si="27"/>
        <v>0</v>
      </c>
      <c r="BM35" s="218">
        <f t="shared" si="27"/>
        <v>0</v>
      </c>
      <c r="BN35" s="218">
        <f t="shared" si="27"/>
        <v>0</v>
      </c>
      <c r="BO35" s="218">
        <f t="shared" si="27"/>
        <v>0</v>
      </c>
      <c r="BP35" s="218">
        <f t="shared" si="27"/>
        <v>0</v>
      </c>
      <c r="BQ35" s="218">
        <f t="shared" si="23"/>
        <v>0</v>
      </c>
      <c r="BR35" s="233">
        <f>ROUND(BQ35,0)</f>
        <v>0</v>
      </c>
    </row>
    <row r="36" spans="2:71" ht="18.95" customHeight="1" x14ac:dyDescent="0.15">
      <c r="B36" s="102">
        <v>1300000</v>
      </c>
      <c r="C36" s="101">
        <v>75</v>
      </c>
      <c r="D36" s="102">
        <v>275000</v>
      </c>
      <c r="O36" s="134"/>
      <c r="P36" s="348"/>
      <c r="Q36" s="137" t="s">
        <v>52</v>
      </c>
      <c r="R36" s="320">
        <f>BR38</f>
        <v>0</v>
      </c>
      <c r="S36" s="321"/>
      <c r="T36" s="322"/>
      <c r="BD36" s="209" t="s">
        <v>92</v>
      </c>
      <c r="BE36" s="216">
        <f>IF(BE18&gt;ROUNDDOWN(税率・条件!$C$18/12,2),ROUNDDOWN(税率・条件!$C$18/12,2)-SUM(BE37:BE39),BE14)</f>
        <v>0</v>
      </c>
      <c r="BF36" s="216">
        <f>IF(BF18&gt;ROUNDDOWN(税率・条件!$C$18/12,2),ROUNDDOWN(税率・条件!$C$18/12,2)-SUM(BF37:BF39),BF14)</f>
        <v>0</v>
      </c>
      <c r="BG36" s="216">
        <f>IF(BG18&gt;ROUNDDOWN(税率・条件!$C$18/12,2),ROUNDDOWN(税率・条件!$C$18/12,2)-SUM(BG37:BG39),BG14)</f>
        <v>0</v>
      </c>
      <c r="BH36" s="216">
        <f>IF(BH18&gt;ROUNDDOWN(税率・条件!$C$18/12,2),ROUNDDOWN(税率・条件!$C$18/12,2)-SUM(BH37:BH39),BH14)</f>
        <v>0</v>
      </c>
      <c r="BI36" s="216">
        <f>IF(BI18&gt;ROUNDDOWN(税率・条件!$C$18/12,2),ROUNDDOWN(税率・条件!$C$18/12,2)-SUM(BI37:BI39),BI14)</f>
        <v>0</v>
      </c>
      <c r="BJ36" s="216">
        <f>IF(BJ18&gt;ROUNDDOWN(税率・条件!$C$18/12,2),ROUNDDOWN(税率・条件!$C$18/12,2)-SUM(BJ37:BJ39),BJ14)</f>
        <v>0</v>
      </c>
      <c r="BK36" s="216">
        <f>IF(BK18&gt;ROUNDDOWN(税率・条件!$C$18/12,2),ROUNDDOWN(税率・条件!$C$18/12,2)-SUM(BK37:BK39),BK14)</f>
        <v>0</v>
      </c>
      <c r="BL36" s="216">
        <f>IF(BL18&gt;ROUNDDOWN(税率・条件!$C$18/12,2),ROUNDDOWN(税率・条件!$C$18/12,2)-SUM(BL37:BL39),BL14)</f>
        <v>0</v>
      </c>
      <c r="BM36" s="216">
        <f>IF(BM18&gt;ROUNDDOWN(税率・条件!$C$18/12,2),ROUNDDOWN(税率・条件!$C$18/12,2)-SUM(BM37:BM39),BM14)</f>
        <v>0</v>
      </c>
      <c r="BN36" s="216">
        <f>IF(BN18&gt;ROUNDDOWN(税率・条件!$C$18/12,2),ROUNDDOWN(税率・条件!$C$18/12,2)-SUM(BN37:BN39),BN14)</f>
        <v>0</v>
      </c>
      <c r="BO36" s="216">
        <f>IF(BO18&gt;ROUNDDOWN(税率・条件!$C$18/12,2),ROUNDDOWN(税率・条件!$C$18/12,2)-SUM(BO37:BO39),BO14)</f>
        <v>0</v>
      </c>
      <c r="BP36" s="216">
        <f>IF(BP18&gt;ROUNDDOWN(税率・条件!$C$18/12,2),ROUNDDOWN(税率・条件!$C$18/12,2)-SUM(BP37:BP39),BP14)</f>
        <v>0</v>
      </c>
      <c r="BQ36" s="216">
        <f t="shared" si="23"/>
        <v>0</v>
      </c>
      <c r="BR36" s="231">
        <f>ROUND(BQ36,0)</f>
        <v>0</v>
      </c>
      <c r="BS36" s="145"/>
    </row>
    <row r="37" spans="2:71" ht="18.95" customHeight="1" x14ac:dyDescent="0.15">
      <c r="B37" s="102">
        <v>4100000</v>
      </c>
      <c r="C37" s="101">
        <v>85</v>
      </c>
      <c r="D37" s="102">
        <v>685000</v>
      </c>
      <c r="O37" s="121"/>
      <c r="P37" s="348"/>
      <c r="Q37" s="137" t="s">
        <v>53</v>
      </c>
      <c r="R37" s="320">
        <f>BR39</f>
        <v>0</v>
      </c>
      <c r="S37" s="321"/>
      <c r="T37" s="322"/>
      <c r="BD37" s="210" t="s">
        <v>180</v>
      </c>
      <c r="BE37" s="221">
        <f>IF(BE18&gt;ROUNDDOWN(税率・条件!$C$18/12,2),ROUNDDOWN(((ROUNDDOWN(税率・条件!$C$18/12,2))-SUM(BE38:BE39))/(BE18-SUM(BE16:BE17))*BE15,2),BE15)</f>
        <v>0</v>
      </c>
      <c r="BF37" s="221">
        <f>IF(BF18&gt;ROUNDDOWN(税率・条件!$C$18/12,2),ROUNDDOWN(((ROUNDDOWN(税率・条件!$C$18/12,2))-SUM(BF38:BF39))/(BF18-SUM(BF16:BF17))*BF15,2),BF15)</f>
        <v>0</v>
      </c>
      <c r="BG37" s="221">
        <f>IF(BG18&gt;ROUNDDOWN(税率・条件!$C$18/12,2),ROUNDDOWN(((ROUNDDOWN(税率・条件!$C$18/12,2))-SUM(BG38:BG39))/(BG18-SUM(BG16:BG17))*BG15,2),BG15)</f>
        <v>0</v>
      </c>
      <c r="BH37" s="221">
        <f>IF(BH18&gt;ROUNDDOWN(税率・条件!$C$18/12,2),ROUNDDOWN(((ROUNDDOWN(税率・条件!$C$18/12,2))-SUM(BH38:BH39))/(BH18-SUM(BH16:BH17))*BH15,2),BH15)</f>
        <v>0</v>
      </c>
      <c r="BI37" s="221">
        <f>IF(BI18&gt;ROUNDDOWN(税率・条件!$C$18/12,2),ROUNDDOWN(((ROUNDDOWN(税率・条件!$C$18/12,2))-SUM(BI38:BI39))/(BI18-SUM(BI16:BI17))*BI15,2),BI15)</f>
        <v>0</v>
      </c>
      <c r="BJ37" s="221">
        <f>IF(BJ18&gt;ROUNDDOWN(税率・条件!$C$18/12,2),ROUNDDOWN(((ROUNDDOWN(税率・条件!$C$18/12,2))-SUM(BJ38:BJ39))/(BJ18-SUM(BJ16:BJ17))*BJ15,2),BJ15)</f>
        <v>0</v>
      </c>
      <c r="BK37" s="221">
        <f>IF(BK18&gt;ROUNDDOWN(税率・条件!$C$18/12,2),ROUNDDOWN(((ROUNDDOWN(税率・条件!$C$18/12,2))-SUM(BK38:BK39))/(BK18-SUM(BK16:BK17))*BK15,2),BK15)</f>
        <v>0</v>
      </c>
      <c r="BL37" s="221">
        <f>IF(BL18&gt;ROUNDDOWN(税率・条件!$C$18/12,2),ROUNDDOWN(((ROUNDDOWN(税率・条件!$C$18/12,2))-SUM(BL38:BL39))/(BL18-SUM(BL16:BL17))*BL15,2),BL15)</f>
        <v>0</v>
      </c>
      <c r="BM37" s="221">
        <f>IF(BM18&gt;ROUNDDOWN(税率・条件!$C$18/12,2),ROUNDDOWN(((ROUNDDOWN(税率・条件!$C$18/12,2))-SUM(BM38:BM39))/(BM18-SUM(BM16:BM17))*BM15,2),BM15)</f>
        <v>0</v>
      </c>
      <c r="BN37" s="221">
        <f>IF(BN18&gt;ROUNDDOWN(税率・条件!$C$18/12,2),ROUNDDOWN(((ROUNDDOWN(税率・条件!$C$18/12,2))-SUM(BN38:BN39))/(BN18-SUM(BN16:BN17))*BN15,2),BN15)</f>
        <v>0</v>
      </c>
      <c r="BO37" s="221">
        <f>IF(BO18&gt;ROUNDDOWN(税率・条件!$C$18/12,2),ROUNDDOWN(((ROUNDDOWN(税率・条件!$C$18/12,2))-SUM(BO38:BO39))/(BO18-SUM(BO16:BO17))*BO15,2),BO15)</f>
        <v>0</v>
      </c>
      <c r="BP37" s="221">
        <f>IF(BP18&gt;ROUNDDOWN(税率・条件!$C$18/12,2),ROUNDDOWN(((ROUNDDOWN(税率・条件!$C$18/12,2))-SUM(BP38:BP39))/(BP18-SUM(BP16:BP17))*BP15,2),BP15)</f>
        <v>0</v>
      </c>
      <c r="BQ37" s="221">
        <f t="shared" si="23"/>
        <v>0</v>
      </c>
      <c r="BR37" s="232">
        <f>ROUND(BQ37,0)</f>
        <v>0</v>
      </c>
    </row>
    <row r="38" spans="2:71" ht="18.95" customHeight="1" x14ac:dyDescent="0.15">
      <c r="B38" s="102">
        <v>7700000</v>
      </c>
      <c r="C38" s="101">
        <v>95</v>
      </c>
      <c r="D38" s="102">
        <v>1455000</v>
      </c>
      <c r="J38" s="116"/>
      <c r="P38" s="349"/>
      <c r="Q38" s="140" t="s">
        <v>56</v>
      </c>
      <c r="R38" s="327">
        <f>ROUNDDOWN(SUM(R34:T37),-2)</f>
        <v>0</v>
      </c>
      <c r="S38" s="328"/>
      <c r="T38" s="329"/>
      <c r="U38" s="145" t="str">
        <f>IF(SUM(R34:T37)-R38=0,"","※100円未満("&amp;SUM(R34:T37)-R38&amp;"円)切捨て")</f>
        <v/>
      </c>
      <c r="X38" s="1" t="str">
        <f>"医療分各個人月別計（令和"&amp;DBCS(税率・条件!C1)&amp;"年度税率）"</f>
        <v>医療分各個人月別計（令和８年度税率）</v>
      </c>
      <c r="AD38" s="1" t="s">
        <v>83</v>
      </c>
      <c r="BD38" s="210" t="s">
        <v>148</v>
      </c>
      <c r="BE38" s="221">
        <f t="shared" ref="BE38:BP39" si="28">BE16</f>
        <v>0</v>
      </c>
      <c r="BF38" s="221">
        <f t="shared" si="28"/>
        <v>0</v>
      </c>
      <c r="BG38" s="221">
        <f t="shared" si="28"/>
        <v>0</v>
      </c>
      <c r="BH38" s="221">
        <f t="shared" si="28"/>
        <v>0</v>
      </c>
      <c r="BI38" s="221">
        <f t="shared" si="28"/>
        <v>0</v>
      </c>
      <c r="BJ38" s="221">
        <f t="shared" si="28"/>
        <v>0</v>
      </c>
      <c r="BK38" s="221">
        <f t="shared" si="28"/>
        <v>0</v>
      </c>
      <c r="BL38" s="221">
        <f t="shared" si="28"/>
        <v>0</v>
      </c>
      <c r="BM38" s="221">
        <f t="shared" si="28"/>
        <v>0</v>
      </c>
      <c r="BN38" s="221">
        <f t="shared" si="28"/>
        <v>0</v>
      </c>
      <c r="BO38" s="221">
        <f t="shared" si="28"/>
        <v>0</v>
      </c>
      <c r="BP38" s="221">
        <f t="shared" si="28"/>
        <v>0</v>
      </c>
      <c r="BQ38" s="221">
        <f t="shared" si="23"/>
        <v>0</v>
      </c>
      <c r="BR38" s="232">
        <f>BR40-BR36-BR37-BR39</f>
        <v>0</v>
      </c>
      <c r="BS38" s="145" t="str">
        <f>IF(ROUND(BQ38,0)=BR38,"","←調整後数値")</f>
        <v/>
      </c>
    </row>
    <row r="39" spans="2:71" ht="18.95" customHeight="1" x14ac:dyDescent="0.15">
      <c r="B39" s="102">
        <v>10000001</v>
      </c>
      <c r="C39" s="101">
        <v>100</v>
      </c>
      <c r="D39" s="102">
        <v>1955000</v>
      </c>
      <c r="I39" s="116"/>
      <c r="P39" s="347" t="s">
        <v>201</v>
      </c>
      <c r="Q39" s="139" t="s">
        <v>46</v>
      </c>
      <c r="R39" s="330">
        <f>BR41</f>
        <v>0</v>
      </c>
      <c r="S39" s="331"/>
      <c r="T39" s="332"/>
      <c r="U39" s="144" t="str">
        <f>IF(AND(R39&gt;0,COUNTIF($Z$92:$AV$92,"該当")&gt;0),"月割限度。調整前:"&amp;TEXT(ROUND(BR19,0),"#,##0"&amp;"円"),"")</f>
        <v/>
      </c>
      <c r="X39" s="350"/>
      <c r="Y39" s="352" t="s">
        <v>72</v>
      </c>
      <c r="Z39" s="297" t="s">
        <v>70</v>
      </c>
      <c r="AA39" s="337"/>
      <c r="AB39" s="337"/>
      <c r="AC39" s="337"/>
      <c r="AD39" s="337"/>
      <c r="AE39" s="337"/>
      <c r="AF39" s="337"/>
      <c r="AG39" s="337"/>
      <c r="AH39" s="337"/>
      <c r="AI39" s="337"/>
      <c r="AJ39" s="337"/>
      <c r="AK39" s="337"/>
      <c r="AL39" s="299"/>
      <c r="AM39" s="186"/>
      <c r="AN39" s="186"/>
      <c r="AO39" s="186"/>
      <c r="AP39" s="186"/>
      <c r="AQ39" s="186"/>
      <c r="AR39" s="186"/>
      <c r="AS39" s="186"/>
      <c r="AT39" s="186"/>
      <c r="AU39" s="186"/>
      <c r="AV39" s="186"/>
      <c r="AW39" s="186"/>
      <c r="AX39" s="186"/>
      <c r="AY39" s="186"/>
      <c r="AZ39" s="121"/>
      <c r="BA39" s="121"/>
      <c r="BD39" s="210" t="s">
        <v>181</v>
      </c>
      <c r="BE39" s="221">
        <f t="shared" si="28"/>
        <v>0</v>
      </c>
      <c r="BF39" s="221">
        <f t="shared" si="28"/>
        <v>0</v>
      </c>
      <c r="BG39" s="221">
        <f t="shared" si="28"/>
        <v>0</v>
      </c>
      <c r="BH39" s="221">
        <f t="shared" si="28"/>
        <v>0</v>
      </c>
      <c r="BI39" s="221">
        <f t="shared" si="28"/>
        <v>0</v>
      </c>
      <c r="BJ39" s="221">
        <f t="shared" si="28"/>
        <v>0</v>
      </c>
      <c r="BK39" s="221">
        <f t="shared" si="28"/>
        <v>0</v>
      </c>
      <c r="BL39" s="221">
        <f t="shared" si="28"/>
        <v>0</v>
      </c>
      <c r="BM39" s="221">
        <f t="shared" si="28"/>
        <v>0</v>
      </c>
      <c r="BN39" s="221">
        <f t="shared" si="28"/>
        <v>0</v>
      </c>
      <c r="BO39" s="221">
        <f t="shared" si="28"/>
        <v>0</v>
      </c>
      <c r="BP39" s="221">
        <f t="shared" si="28"/>
        <v>0</v>
      </c>
      <c r="BQ39" s="221">
        <f t="shared" si="23"/>
        <v>0</v>
      </c>
      <c r="BR39" s="232">
        <f>ROUND(BQ39,0)</f>
        <v>0</v>
      </c>
    </row>
    <row r="40" spans="2:71" ht="18.95" customHeight="1" x14ac:dyDescent="0.15">
      <c r="B40" s="103"/>
      <c r="C40" s="108"/>
      <c r="D40" s="103"/>
      <c r="I40" s="117"/>
      <c r="P40" s="348"/>
      <c r="Q40" s="137" t="s">
        <v>49</v>
      </c>
      <c r="R40" s="320">
        <f>BR42</f>
        <v>0</v>
      </c>
      <c r="S40" s="321"/>
      <c r="T40" s="322"/>
      <c r="U40" s="144" t="str">
        <f>IF(AND(R40&gt;0,COUNTIF($Z$92:$AV$92,"該当")&gt;0),"月割限度。調整前:"&amp;TEXT(ROUND(BR20,0),"#,##0"&amp;"円"),"")</f>
        <v/>
      </c>
      <c r="X40" s="351"/>
      <c r="Y40" s="353"/>
      <c r="Z40" s="166" t="s">
        <v>124</v>
      </c>
      <c r="AA40" s="173" t="s">
        <v>105</v>
      </c>
      <c r="AB40" s="173" t="s">
        <v>138</v>
      </c>
      <c r="AC40" s="173" t="s">
        <v>139</v>
      </c>
      <c r="AD40" s="173" t="s">
        <v>112</v>
      </c>
      <c r="AE40" s="173" t="s">
        <v>63</v>
      </c>
      <c r="AF40" s="173" t="s">
        <v>129</v>
      </c>
      <c r="AG40" s="173" t="s">
        <v>61</v>
      </c>
      <c r="AH40" s="173" t="s">
        <v>140</v>
      </c>
      <c r="AI40" s="176" t="s">
        <v>141</v>
      </c>
      <c r="AJ40" s="176" t="s">
        <v>142</v>
      </c>
      <c r="AK40" s="176" t="s">
        <v>143</v>
      </c>
      <c r="AL40" s="182" t="s">
        <v>56</v>
      </c>
      <c r="AM40" s="9"/>
      <c r="AN40" s="191"/>
      <c r="AO40" s="195"/>
      <c r="AP40" s="195"/>
      <c r="AQ40" s="191"/>
      <c r="AR40" s="195"/>
      <c r="AS40" s="195"/>
      <c r="AT40" s="191"/>
      <c r="AU40" s="195"/>
      <c r="AV40" s="195"/>
      <c r="AW40" s="191"/>
      <c r="AX40" s="195"/>
      <c r="AY40" s="195"/>
      <c r="AZ40" s="202"/>
      <c r="BA40" s="125"/>
      <c r="BB40" s="206"/>
      <c r="BD40" s="211" t="s">
        <v>185</v>
      </c>
      <c r="BE40" s="218">
        <f t="shared" ref="BE40:BP40" si="29">SUM(BE36:BE39)</f>
        <v>0</v>
      </c>
      <c r="BF40" s="218">
        <f t="shared" si="29"/>
        <v>0</v>
      </c>
      <c r="BG40" s="218">
        <f t="shared" si="29"/>
        <v>0</v>
      </c>
      <c r="BH40" s="218">
        <f t="shared" si="29"/>
        <v>0</v>
      </c>
      <c r="BI40" s="218">
        <f t="shared" si="29"/>
        <v>0</v>
      </c>
      <c r="BJ40" s="218">
        <f t="shared" si="29"/>
        <v>0</v>
      </c>
      <c r="BK40" s="218">
        <f t="shared" si="29"/>
        <v>0</v>
      </c>
      <c r="BL40" s="218">
        <f t="shared" si="29"/>
        <v>0</v>
      </c>
      <c r="BM40" s="218">
        <f t="shared" si="29"/>
        <v>0</v>
      </c>
      <c r="BN40" s="218">
        <f t="shared" si="29"/>
        <v>0</v>
      </c>
      <c r="BO40" s="218">
        <f t="shared" si="29"/>
        <v>0</v>
      </c>
      <c r="BP40" s="218">
        <f t="shared" si="29"/>
        <v>0</v>
      </c>
      <c r="BQ40" s="218">
        <f t="shared" si="23"/>
        <v>0</v>
      </c>
      <c r="BR40" s="233">
        <f>ROUND(BQ40,0)</f>
        <v>0</v>
      </c>
    </row>
    <row r="41" spans="2:71" ht="18.95" customHeight="1" x14ac:dyDescent="0.15">
      <c r="B41" s="1" t="s">
        <v>22</v>
      </c>
      <c r="P41" s="348"/>
      <c r="Q41" s="137" t="s">
        <v>52</v>
      </c>
      <c r="R41" s="320">
        <f>BR43</f>
        <v>0</v>
      </c>
      <c r="S41" s="321"/>
      <c r="T41" s="322"/>
      <c r="X41" s="149" t="str">
        <f t="shared" ref="X41:Y48" si="30">X26</f>
        <v>世帯主</v>
      </c>
      <c r="Y41" s="155" t="str">
        <f t="shared" si="30"/>
        <v/>
      </c>
      <c r="Z41" s="167" t="str">
        <f>IF(BE56="","",ROUND(IF(BE$73&lt;ROUNDDOWN(税率・条件!$C$8/12,0),BE55+BE56,BE55*(((税率・条件!$C$8/12)-BE$72)/BE$71)+BE56),0))</f>
        <v/>
      </c>
      <c r="AA41" s="174" t="str">
        <f>IF(BF56="","",ROUND(IF(BF$73&lt;ROUNDDOWN(税率・条件!$C$8/12,0),BF55+BF56,BF55*(((税率・条件!$C$8/12)-BF$72)/BF$71)+BF56),0))</f>
        <v/>
      </c>
      <c r="AB41" s="174" t="str">
        <f>IF(BG56="","",ROUND(IF(BG$73&lt;ROUNDDOWN(税率・条件!$C$8/12,0),BG55+BG56,BG55*(((税率・条件!$C$8/12)-BG$72)/BG$71)+BG56),0))</f>
        <v/>
      </c>
      <c r="AC41" s="174" t="str">
        <f>IF(BH56="","",ROUND(IF(BH$73&lt;ROUNDDOWN(税率・条件!$C$8/12,0),BH55+BH56,BH55*(((税率・条件!$C$8/12)-BH$72)/BH$71)+BH56),0))</f>
        <v/>
      </c>
      <c r="AD41" s="174" t="str">
        <f>IF(BI56="","",ROUND(IF(BI$73&lt;ROUNDDOWN(税率・条件!$C$8/12,0),BI55+BI56,BI55*(((税率・条件!$C$8/12)-BI$72)/BI$71)+BI56),0))</f>
        <v/>
      </c>
      <c r="AE41" s="174" t="str">
        <f>IF(BJ56="","",ROUND(IF(BJ$73&lt;ROUNDDOWN(税率・条件!$C$8/12,0),BJ55+BJ56,BJ55*(((税率・条件!$C$8/12)-BJ$72)/BJ$71)+BJ56),0))</f>
        <v/>
      </c>
      <c r="AF41" s="174" t="str">
        <f>IF(BK56="","",ROUND(IF(BK$73&lt;ROUNDDOWN(税率・条件!$C$8/12,0),BK55+BK56,BK55*(((税率・条件!$C$8/12)-BK$72)/BK$71)+BK56),0))</f>
        <v/>
      </c>
      <c r="AG41" s="174" t="str">
        <f>IF(BL56="","",ROUND(IF(BL$73&lt;ROUNDDOWN(税率・条件!$C$8/12,0),BL55+BL56,BL55*(((税率・条件!$C$8/12)-BL$72)/BL$71)+BL56),0))</f>
        <v/>
      </c>
      <c r="AH41" s="174" t="str">
        <f>IF(BM56="","",ROUND(IF(BM$73&lt;ROUNDDOWN(税率・条件!$C$8/12,0),BM55+BM56,BM55*(((税率・条件!$C$8/12)-BM$72)/BM$71)+BM56),0))</f>
        <v/>
      </c>
      <c r="AI41" s="177" t="str">
        <f>IF(BN56="","",ROUND(IF(BN$73&lt;ROUNDDOWN(税率・条件!$C$8/12,0),BN55+BN56,BN55*(((税率・条件!$C$8/12)-BN$72)/BN$71)+BN56),0))</f>
        <v/>
      </c>
      <c r="AJ41" s="177" t="str">
        <f>IF(BO56="","",ROUND(IF(BO$73&lt;ROUNDDOWN(税率・条件!$C$8/12,0),BO55+BO56,BO55*(((税率・条件!$C$8/12)-BO$72)/BO$71)+BO56),0))</f>
        <v/>
      </c>
      <c r="AK41" s="177" t="str">
        <f>IF(BP56="","",ROUND(IF(BP$73&lt;ROUNDDOWN(税率・条件!$C$8/12,0),BP55+BP56,BP55*(((税率・条件!$C$8/12)-BP$72)/BP$71)+BP56),0))</f>
        <v/>
      </c>
      <c r="AL41" s="183" t="str">
        <f>IF(X4="","",SUM(Z41:AK41))</f>
        <v/>
      </c>
      <c r="AM41" s="187"/>
      <c r="AN41" s="191"/>
      <c r="AO41" s="186"/>
      <c r="AP41" s="186"/>
      <c r="AQ41" s="191"/>
      <c r="AR41" s="186"/>
      <c r="AS41" s="186"/>
      <c r="AT41" s="191"/>
      <c r="AU41" s="186"/>
      <c r="AV41" s="186"/>
      <c r="AW41" s="191"/>
      <c r="AX41" s="187"/>
      <c r="AY41" s="187"/>
      <c r="AZ41" s="203"/>
      <c r="BA41" s="125"/>
      <c r="BB41" s="207"/>
      <c r="BD41" s="209" t="s">
        <v>204</v>
      </c>
      <c r="BE41" s="216">
        <f>IF(BE23&gt;ROUNDDOWN(税率・条件!$C$23/12,2),ROUNDDOWN(税率・条件!$C$23/12,2)-SUM(BE42:BE44),BE19)</f>
        <v>0</v>
      </c>
      <c r="BF41" s="216">
        <f>IF(BF23&gt;ROUNDDOWN(税率・条件!$C$23/12,2),ROUNDDOWN(税率・条件!$C$23/12,2)-SUM(BF42:BF44),BF19)</f>
        <v>0</v>
      </c>
      <c r="BG41" s="216">
        <f>IF(BG23&gt;ROUNDDOWN(税率・条件!$C$23/12,2),ROUNDDOWN(税率・条件!$C$23/12,2)-SUM(BG42:BG44),BG19)</f>
        <v>0</v>
      </c>
      <c r="BH41" s="216">
        <f>IF(BH23&gt;ROUNDDOWN(税率・条件!$C$23/12,2),ROUNDDOWN(税率・条件!$C$23/12,2)-SUM(BH42:BH44),BH19)</f>
        <v>0</v>
      </c>
      <c r="BI41" s="216">
        <f>IF(BI23&gt;ROUNDDOWN(税率・条件!$C$23/12,2),ROUNDDOWN(税率・条件!$C$23/12,2)-SUM(BI42:BI44),BI19)</f>
        <v>0</v>
      </c>
      <c r="BJ41" s="216">
        <f>IF(BJ23&gt;ROUNDDOWN(税率・条件!$C$23/12,2),ROUNDDOWN(税率・条件!$C$23/12,2)-SUM(BJ42:BJ44),BJ19)</f>
        <v>0</v>
      </c>
      <c r="BK41" s="216">
        <f>IF(BK23&gt;ROUNDDOWN(税率・条件!$C$23/12,2),ROUNDDOWN(税率・条件!$C$23/12,2)-SUM(BK42:BK44),BK19)</f>
        <v>0</v>
      </c>
      <c r="BL41" s="216">
        <f>IF(BL23&gt;ROUNDDOWN(税率・条件!$C$23/12,2),ROUNDDOWN(税率・条件!$C$23/12,2)-SUM(BL42:BL44),BL19)</f>
        <v>0</v>
      </c>
      <c r="BM41" s="216">
        <f>IF(BM23&gt;ROUNDDOWN(税率・条件!$C$23/12,2),ROUNDDOWN(税率・条件!$C$23/12,2)-SUM(BM42:BM44),BM19)</f>
        <v>0</v>
      </c>
      <c r="BN41" s="216">
        <f>IF(BN23&gt;ROUNDDOWN(税率・条件!$C$23/12,2),ROUNDDOWN(税率・条件!$C$23/12,2)-SUM(BN42:BN44),BN19)</f>
        <v>0</v>
      </c>
      <c r="BO41" s="216">
        <f>IF(BO23&gt;ROUNDDOWN(税率・条件!$C$23/12,2),ROUNDDOWN(税率・条件!$C$23/12,2)-SUM(BO42:BO44),BO19)</f>
        <v>0</v>
      </c>
      <c r="BP41" s="216">
        <f>IF(BP23&gt;ROUNDDOWN(税率・条件!$C$23/12,2),ROUNDDOWN(税率・条件!$C$23/12,2)-SUM(BP42:BP44),BP19)</f>
        <v>0</v>
      </c>
      <c r="BQ41" s="216">
        <f t="shared" si="23"/>
        <v>0</v>
      </c>
      <c r="BR41" s="231">
        <f>ROUND(BQ41,0)</f>
        <v>0</v>
      </c>
    </row>
    <row r="42" spans="2:71" ht="18.95" customHeight="1" x14ac:dyDescent="0.15">
      <c r="B42" s="101" t="s">
        <v>15</v>
      </c>
      <c r="C42" s="107" t="s">
        <v>35</v>
      </c>
      <c r="D42" s="107" t="s">
        <v>30</v>
      </c>
      <c r="P42" s="348"/>
      <c r="Q42" s="137" t="s">
        <v>53</v>
      </c>
      <c r="R42" s="320">
        <f>BR44</f>
        <v>0</v>
      </c>
      <c r="S42" s="321"/>
      <c r="T42" s="322"/>
      <c r="X42" s="149" t="str">
        <f t="shared" si="30"/>
        <v>２</v>
      </c>
      <c r="Y42" s="155" t="str">
        <f t="shared" si="30"/>
        <v/>
      </c>
      <c r="Z42" s="167" t="str">
        <f>IF(BE58="","",ROUND(IF(BE$73&lt;ROUNDDOWN(税率・条件!$C$8/12,0),BE57+BE58,BE57*(((税率・条件!$C$8/12)-BE$72)/BE$71)+BE58),0))</f>
        <v/>
      </c>
      <c r="AA42" s="174" t="str">
        <f>IF(BF58="","",ROUND(IF(BF$73&lt;ROUNDDOWN(税率・条件!$C$8/12,0),BF57+BF58,BF57*(((税率・条件!$C$8/12)-BF$72)/BF$71)+BF58),0))</f>
        <v/>
      </c>
      <c r="AB42" s="174" t="str">
        <f>IF(BG58="","",ROUND(IF(BG$73&lt;ROUNDDOWN(税率・条件!$C$8/12,0),BG57+BG58,BG57*(((税率・条件!$C$8/12)-BG$72)/BG$71)+BG58),0))</f>
        <v/>
      </c>
      <c r="AC42" s="174" t="str">
        <f>IF(BH58="","",ROUND(IF(BH$73&lt;ROUNDDOWN(税率・条件!$C$8/12,0),BH57+BH58,BH57*(((税率・条件!$C$8/12)-BH$72)/BH$71)+BH58),0))</f>
        <v/>
      </c>
      <c r="AD42" s="174" t="str">
        <f>IF(BI58="","",ROUND(IF(BI$73&lt;ROUNDDOWN(税率・条件!$C$8/12,0),BI57+BI58,BI57*(((税率・条件!$C$8/12)-BI$72)/BI$71)+BI58),0))</f>
        <v/>
      </c>
      <c r="AE42" s="174" t="str">
        <f>IF(BJ58="","",ROUND(IF(BJ$73&lt;ROUNDDOWN(税率・条件!$C$8/12,0),BJ57+BJ58,BJ57*(((税率・条件!$C$8/12)-BJ$72)/BJ$71)+BJ58),0))</f>
        <v/>
      </c>
      <c r="AF42" s="174" t="str">
        <f>IF(BK58="","",ROUND(IF(BK$73&lt;ROUNDDOWN(税率・条件!$C$8/12,0),BK57+BK58,BK57*(((税率・条件!$C$8/12)-BK$72)/BK$71)+BK58),0))</f>
        <v/>
      </c>
      <c r="AG42" s="174" t="str">
        <f>IF(BL58="","",ROUND(IF(BL$73&lt;ROUNDDOWN(税率・条件!$C$8/12,0),BL57+BL58,BL57*(((税率・条件!$C$8/12)-BL$72)/BL$71)+BL58),0))</f>
        <v/>
      </c>
      <c r="AH42" s="174" t="str">
        <f>IF(BM58="","",ROUND(IF(BM$73&lt;ROUNDDOWN(税率・条件!$C$8/12,0),BM57+BM58,BM57*(((税率・条件!$C$8/12)-BM$72)/BM$71)+BM58),0))</f>
        <v/>
      </c>
      <c r="AI42" s="177" t="str">
        <f>IF(BN58="","",ROUND(IF(BN$73&lt;ROUNDDOWN(税率・条件!$C$8/12,0),BN57+BN58,BN57*(((税率・条件!$C$8/12)-BN$72)/BN$71)+BN58),0))</f>
        <v/>
      </c>
      <c r="AJ42" s="177" t="str">
        <f>IF(BO58="","",ROUND(IF(BO$73&lt;ROUNDDOWN(税率・条件!$C$8/12,0),BO57+BO58,BO57*(((税率・条件!$C$8/12)-BO$72)/BO$71)+BO58),0))</f>
        <v/>
      </c>
      <c r="AK42" s="177" t="str">
        <f>IF(BP58="","",ROUND(IF(BP$73&lt;ROUNDDOWN(税率・条件!$C$8/12,0),BP57+BP58,BP57*(((税率・条件!$C$8/12)-BP$72)/BP$71)+BP58),0))</f>
        <v/>
      </c>
      <c r="AL42" s="183" t="str">
        <f>IF(X6="","",SUM(Z42:AK42))</f>
        <v/>
      </c>
      <c r="AM42" s="187"/>
      <c r="AN42" s="191"/>
      <c r="AO42" s="186"/>
      <c r="AP42" s="186"/>
      <c r="AQ42" s="191"/>
      <c r="AR42" s="186"/>
      <c r="AS42" s="186"/>
      <c r="AT42" s="191"/>
      <c r="AU42" s="186"/>
      <c r="AV42" s="186"/>
      <c r="AW42" s="191"/>
      <c r="AX42" s="187"/>
      <c r="AY42" s="187"/>
      <c r="AZ42" s="203"/>
      <c r="BA42" s="125"/>
      <c r="BB42" s="207"/>
      <c r="BD42" s="210" t="s">
        <v>205</v>
      </c>
      <c r="BE42" s="221">
        <f>IF(BE23&gt;ROUNDDOWN(税率・条件!$C$23/12,2),ROUNDDOWN(((ROUNDDOWN(税率・条件!$C$23/12,2))-SUM(BE43:BE44))/(BE23-SUM(BE21:BE22))*BE20,2),BE20)</f>
        <v>0</v>
      </c>
      <c r="BF42" s="221">
        <f>IF(BF23&gt;ROUNDDOWN(税率・条件!$C$23/12,2),ROUNDDOWN(((ROUNDDOWN(税率・条件!$C$23/12,2))-SUM(BF43:BF44))/(BF23-SUM(BF21:BF22))*BF20,2),BF20)</f>
        <v>0</v>
      </c>
      <c r="BG42" s="221">
        <f>IF(BG23&gt;ROUNDDOWN(税率・条件!$C$23/12,2),ROUNDDOWN(((ROUNDDOWN(税率・条件!$C$23/12,2))-SUM(BG43:BG44))/(BG23-SUM(BG21:BG22))*BG20,2),BG20)</f>
        <v>0</v>
      </c>
      <c r="BH42" s="221">
        <f>IF(BH23&gt;ROUNDDOWN(税率・条件!$C$23/12,2),ROUNDDOWN(((ROUNDDOWN(税率・条件!$C$23/12,2))-SUM(BH43:BH44))/(BH23-SUM(BH21:BH22))*BH20,2),BH20)</f>
        <v>0</v>
      </c>
      <c r="BI42" s="221">
        <f>IF(BI23&gt;ROUNDDOWN(税率・条件!$C$23/12,2),ROUNDDOWN(((ROUNDDOWN(税率・条件!$C$23/12,2))-SUM(BI43:BI44))/(BI23-SUM(BI21:BI22))*BI20,2),BI20)</f>
        <v>0</v>
      </c>
      <c r="BJ42" s="221">
        <f>IF(BJ23&gt;ROUNDDOWN(税率・条件!$C$23/12,2),ROUNDDOWN(((ROUNDDOWN(税率・条件!$C$23/12,2))-SUM(BJ43:BJ44))/(BJ23-SUM(BJ21:BJ22))*BJ20,2),BJ20)</f>
        <v>0</v>
      </c>
      <c r="BK42" s="221">
        <f>IF(BK23&gt;ROUNDDOWN(税率・条件!$C$23/12,2),ROUNDDOWN(((ROUNDDOWN(税率・条件!$C$23/12,2))-SUM(BK43:BK44))/(BK23-SUM(BK21:BK22))*BK20,2),BK20)</f>
        <v>0</v>
      </c>
      <c r="BL42" s="221">
        <f>IF(BL23&gt;ROUNDDOWN(税率・条件!$C$23/12,2),ROUNDDOWN(((ROUNDDOWN(税率・条件!$C$23/12,2))-SUM(BL43:BL44))/(BL23-SUM(BL21:BL22))*BL20,2),BL20)</f>
        <v>0</v>
      </c>
      <c r="BM42" s="221">
        <f>IF(BM23&gt;ROUNDDOWN(税率・条件!$C$23/12,2),ROUNDDOWN(((ROUNDDOWN(税率・条件!$C$23/12,2))-SUM(BM43:BM44))/(BM23-SUM(BM21:BM22))*BM20,2),BM20)</f>
        <v>0</v>
      </c>
      <c r="BN42" s="221">
        <f>IF(BN23&gt;ROUNDDOWN(税率・条件!$C$23/12,2),ROUNDDOWN(((ROUNDDOWN(税率・条件!$C$23/12,2))-SUM(BN43:BN44))/(BN23-SUM(BN21:BN22))*BN20,2),BN20)</f>
        <v>0</v>
      </c>
      <c r="BO42" s="221">
        <f>IF(BO23&gt;ROUNDDOWN(税率・条件!$C$23/12,2),ROUNDDOWN(((ROUNDDOWN(税率・条件!$C$23/12,2))-SUM(BO43:BO44))/(BO23-SUM(BO21:BO22))*BO20,2),BO20)</f>
        <v>0</v>
      </c>
      <c r="BP42" s="221">
        <f>IF(BP23&gt;ROUNDDOWN(税率・条件!$C$23/12,2),ROUNDDOWN(((ROUNDDOWN(税率・条件!$C$23/12,2))-SUM(BP43:BP44))/(BP23-SUM(BP21:BP22))*BP20,2),BP20)</f>
        <v>0</v>
      </c>
      <c r="BQ42" s="221">
        <f t="shared" si="23"/>
        <v>0</v>
      </c>
      <c r="BR42" s="232">
        <f>ROUND(BQ42,0)</f>
        <v>0</v>
      </c>
    </row>
    <row r="43" spans="2:71" ht="18.95" customHeight="1" x14ac:dyDescent="0.15">
      <c r="B43" s="102">
        <v>1</v>
      </c>
      <c r="C43" s="101">
        <v>100</v>
      </c>
      <c r="D43" s="102">
        <v>1100000</v>
      </c>
      <c r="K43" s="116"/>
      <c r="P43" s="349"/>
      <c r="Q43" s="140" t="s">
        <v>56</v>
      </c>
      <c r="R43" s="327">
        <f>ROUNDDOWN(SUM(R39:T42),-2)</f>
        <v>0</v>
      </c>
      <c r="S43" s="328"/>
      <c r="T43" s="329"/>
      <c r="U43" s="145" t="str">
        <f>IF(SUM(R39:T42)-R43=0,"","※100円未満("&amp;SUM(R39:T42)-R43&amp;"円)切捨て")</f>
        <v/>
      </c>
      <c r="X43" s="149" t="str">
        <f t="shared" si="30"/>
        <v>３</v>
      </c>
      <c r="Y43" s="155" t="str">
        <f t="shared" si="30"/>
        <v/>
      </c>
      <c r="Z43" s="167" t="str">
        <f>IF(BE60="","",ROUND(IF(BE$73&lt;ROUNDDOWN(税率・条件!$C$8/12,0),BE59+BE60,BE59*(((税率・条件!$C$8/12)-BE$72)/BE$71)+BE60),0))</f>
        <v/>
      </c>
      <c r="AA43" s="174" t="str">
        <f>IF(BF60="","",ROUND(IF(BF$73&lt;ROUNDDOWN(税率・条件!$C$8/12,0),BF59+BF60,BF59*(((税率・条件!$C$8/12)-BF$72)/BF$71)+BF60),0))</f>
        <v/>
      </c>
      <c r="AB43" s="174" t="str">
        <f>IF(BG60="","",ROUND(IF(BG$73&lt;ROUNDDOWN(税率・条件!$C$8/12,0),BG59+BG60,BG59*(((税率・条件!$C$8/12)-BG$72)/BG$71)+BG60),0))</f>
        <v/>
      </c>
      <c r="AC43" s="174" t="str">
        <f>IF(BH60="","",ROUND(IF(BH$73&lt;ROUNDDOWN(税率・条件!$C$8/12,0),BH59+BH60,BH59*(((税率・条件!$C$8/12)-BH$72)/BH$71)+BH60),0))</f>
        <v/>
      </c>
      <c r="AD43" s="174" t="str">
        <f>IF(BI60="","",ROUND(IF(BI$73&lt;ROUNDDOWN(税率・条件!$C$8/12,0),BI59+BI60,BI59*(((税率・条件!$C$8/12)-BI$72)/BI$71)+BI60),0))</f>
        <v/>
      </c>
      <c r="AE43" s="174" t="str">
        <f>IF(BJ60="","",ROUND(IF(BJ$73&lt;ROUNDDOWN(税率・条件!$C$8/12,0),BJ59+BJ60,BJ59*(((税率・条件!$C$8/12)-BJ$72)/BJ$71)+BJ60),0))</f>
        <v/>
      </c>
      <c r="AF43" s="174" t="str">
        <f>IF(BK60="","",ROUND(IF(BK$73&lt;ROUNDDOWN(税率・条件!$C$8/12,0),BK59+BK60,BK59*(((税率・条件!$C$8/12)-BK$72)/BK$71)+BK60),0))</f>
        <v/>
      </c>
      <c r="AG43" s="174" t="str">
        <f>IF(BL60="","",ROUND(IF(BL$73&lt;ROUNDDOWN(税率・条件!$C$8/12,0),BL59+BL60,BL59*(((税率・条件!$C$8/12)-BL$72)/BL$71)+BL60),0))</f>
        <v/>
      </c>
      <c r="AH43" s="174" t="str">
        <f>IF(BM60="","",ROUND(IF(BM$73&lt;ROUNDDOWN(税率・条件!$C$8/12,0),BM59+BM60,BM59*(((税率・条件!$C$8/12)-BM$72)/BM$71)+BM60),0))</f>
        <v/>
      </c>
      <c r="AI43" s="177" t="str">
        <f>IF(BN60="","",ROUND(IF(BN$73&lt;ROUNDDOWN(税率・条件!$C$8/12,0),BN59+BN60,BN59*(((税率・条件!$C$8/12)-BN$72)/BN$71)+BN60),0))</f>
        <v/>
      </c>
      <c r="AJ43" s="177" t="str">
        <f>IF(BO60="","",ROUND(IF(BO$73&lt;ROUNDDOWN(税率・条件!$C$8/12,0),BO59+BO60,BO59*(((税率・条件!$C$8/12)-BO$72)/BO$71)+BO60),0))</f>
        <v/>
      </c>
      <c r="AK43" s="177" t="str">
        <f>IF(BP60="","",ROUND(IF(BP$73&lt;ROUNDDOWN(税率・条件!$C$8/12,0),BP59+BP60,BP59*(((税率・条件!$C$8/12)-BP$72)/BP$71)+BP60),0))</f>
        <v/>
      </c>
      <c r="AL43" s="183" t="str">
        <f>IF(X8="","",SUM(Z43:AK43))</f>
        <v/>
      </c>
      <c r="AM43" s="187"/>
      <c r="AN43" s="191"/>
      <c r="AO43" s="186"/>
      <c r="AP43" s="186"/>
      <c r="AQ43" s="191"/>
      <c r="AR43" s="186"/>
      <c r="AS43" s="186"/>
      <c r="AT43" s="191"/>
      <c r="AU43" s="186"/>
      <c r="AV43" s="186"/>
      <c r="AW43" s="191"/>
      <c r="AX43" s="187"/>
      <c r="AY43" s="187"/>
      <c r="AZ43" s="203"/>
      <c r="BA43" s="125"/>
      <c r="BB43" s="207"/>
      <c r="BD43" s="210" t="s">
        <v>206</v>
      </c>
      <c r="BE43" s="221">
        <f t="shared" ref="BE43:BP44" si="31">BE21</f>
        <v>0</v>
      </c>
      <c r="BF43" s="221">
        <f t="shared" si="31"/>
        <v>0</v>
      </c>
      <c r="BG43" s="221">
        <f t="shared" si="31"/>
        <v>0</v>
      </c>
      <c r="BH43" s="221">
        <f t="shared" si="31"/>
        <v>0</v>
      </c>
      <c r="BI43" s="221">
        <f t="shared" si="31"/>
        <v>0</v>
      </c>
      <c r="BJ43" s="221">
        <f t="shared" si="31"/>
        <v>0</v>
      </c>
      <c r="BK43" s="221">
        <f t="shared" si="31"/>
        <v>0</v>
      </c>
      <c r="BL43" s="221">
        <f t="shared" si="31"/>
        <v>0</v>
      </c>
      <c r="BM43" s="221">
        <f t="shared" si="31"/>
        <v>0</v>
      </c>
      <c r="BN43" s="221">
        <f t="shared" si="31"/>
        <v>0</v>
      </c>
      <c r="BO43" s="221">
        <f t="shared" si="31"/>
        <v>0</v>
      </c>
      <c r="BP43" s="221">
        <f t="shared" si="31"/>
        <v>0</v>
      </c>
      <c r="BQ43" s="221">
        <f t="shared" si="23"/>
        <v>0</v>
      </c>
      <c r="BR43" s="232">
        <f>BR45-BR41-BR42-BR44</f>
        <v>0</v>
      </c>
      <c r="BS43" s="145" t="str">
        <f>IF(ROUND(BQ43,0)=BR43,"","←調整後数値")</f>
        <v/>
      </c>
    </row>
    <row r="44" spans="2:71" ht="18.95" customHeight="1" x14ac:dyDescent="0.15">
      <c r="B44" s="102">
        <v>3300000</v>
      </c>
      <c r="C44" s="101">
        <v>75</v>
      </c>
      <c r="D44" s="102">
        <v>275000</v>
      </c>
      <c r="P44" s="338" t="s">
        <v>107</v>
      </c>
      <c r="Q44" s="339"/>
      <c r="R44" s="340">
        <f>R28+R33+R38+R43</f>
        <v>0</v>
      </c>
      <c r="S44" s="341"/>
      <c r="T44" s="342"/>
      <c r="X44" s="149" t="str">
        <f t="shared" si="30"/>
        <v>４</v>
      </c>
      <c r="Y44" s="155" t="str">
        <f t="shared" si="30"/>
        <v/>
      </c>
      <c r="Z44" s="167" t="str">
        <f>IF(BE62="","",ROUND(IF(BE$73&lt;ROUNDDOWN(税率・条件!$C$8/12,0),BE61+BE62,BE61*(((税率・条件!$C$8/12)-BE$72)/BE$71)+BE62),0))</f>
        <v/>
      </c>
      <c r="AA44" s="174" t="str">
        <f>IF(BF62="","",ROUND(IF(BF$73&lt;ROUNDDOWN(税率・条件!$C$8/12,0),BF61+BF62,BF61*(((税率・条件!$C$8/12)-BF$72)/BF$71)+BF62),0))</f>
        <v/>
      </c>
      <c r="AB44" s="174" t="str">
        <f>IF(BG62="","",ROUND(IF(BG$73&lt;ROUNDDOWN(税率・条件!$C$8/12,0),BG61+BG62,BG61*(((税率・条件!$C$8/12)-BG$72)/BG$71)+BG62),0))</f>
        <v/>
      </c>
      <c r="AC44" s="174" t="str">
        <f>IF(BH62="","",ROUND(IF(BH$73&lt;ROUNDDOWN(税率・条件!$C$8/12,0),BH61+BH62,BH61*(((税率・条件!$C$8/12)-BH$72)/BH$71)+BH62),0))</f>
        <v/>
      </c>
      <c r="AD44" s="174" t="str">
        <f>IF(BI62="","",ROUND(IF(BI$73&lt;ROUNDDOWN(税率・条件!$C$8/12,0),BI61+BI62,BI61*(((税率・条件!$C$8/12)-BI$72)/BI$71)+BI62),0))</f>
        <v/>
      </c>
      <c r="AE44" s="174" t="str">
        <f>IF(BJ62="","",ROUND(IF(BJ$73&lt;ROUNDDOWN(税率・条件!$C$8/12,0),BJ61+BJ62,BJ61*(((税率・条件!$C$8/12)-BJ$72)/BJ$71)+BJ62),0))</f>
        <v/>
      </c>
      <c r="AF44" s="174" t="str">
        <f>IF(BK62="","",ROUND(IF(BK$73&lt;ROUNDDOWN(税率・条件!$C$8/12,0),BK61+BK62,BK61*(((税率・条件!$C$8/12)-BK$72)/BK$71)+BK62),0))</f>
        <v/>
      </c>
      <c r="AG44" s="174" t="str">
        <f>IF(BL62="","",ROUND(IF(BL$73&lt;ROUNDDOWN(税率・条件!$C$8/12,0),BL61+BL62,BL61*(((税率・条件!$C$8/12)-BL$72)/BL$71)+BL62),0))</f>
        <v/>
      </c>
      <c r="AH44" s="174" t="str">
        <f>IF(BM62="","",ROUND(IF(BM$73&lt;ROUNDDOWN(税率・条件!$C$8/12,0),BM61+BM62,BM61*(((税率・条件!$C$8/12)-BM$72)/BM$71)+BM62),0))</f>
        <v/>
      </c>
      <c r="AI44" s="177" t="str">
        <f>IF(BN62="","",ROUND(IF(BN$73&lt;ROUNDDOWN(税率・条件!$C$8/12,0),BN61+BN62,BN61*(((税率・条件!$C$8/12)-BN$72)/BN$71)+BN62),0))</f>
        <v/>
      </c>
      <c r="AJ44" s="177" t="str">
        <f>IF(BO62="","",ROUND(IF(BO$73&lt;ROUNDDOWN(税率・条件!$C$8/12,0),BO61+BO62,BO61*(((税率・条件!$C$8/12)-BO$72)/BO$71)+BO62),0))</f>
        <v/>
      </c>
      <c r="AK44" s="177" t="str">
        <f>IF(BP62="","",ROUND(IF(BP$73&lt;ROUNDDOWN(税率・条件!$C$8/12,0),BP61+BP62,BP61*(((税率・条件!$C$8/12)-BP$72)/BP$71)+BP62),0))</f>
        <v/>
      </c>
      <c r="AL44" s="183" t="str">
        <f>IF(X10="","",SUM(Z44:AK44))</f>
        <v/>
      </c>
      <c r="AM44" s="187"/>
      <c r="AN44" s="191"/>
      <c r="AO44" s="186"/>
      <c r="AP44" s="186"/>
      <c r="AQ44" s="191"/>
      <c r="AR44" s="186"/>
      <c r="AS44" s="186"/>
      <c r="AT44" s="191"/>
      <c r="AU44" s="186"/>
      <c r="AV44" s="186"/>
      <c r="AW44" s="191"/>
      <c r="AX44" s="187"/>
      <c r="AY44" s="187"/>
      <c r="AZ44" s="203"/>
      <c r="BA44" s="125"/>
      <c r="BB44" s="207"/>
      <c r="BD44" s="210" t="s">
        <v>207</v>
      </c>
      <c r="BE44" s="221">
        <f t="shared" si="31"/>
        <v>0</v>
      </c>
      <c r="BF44" s="221">
        <f t="shared" si="31"/>
        <v>0</v>
      </c>
      <c r="BG44" s="221">
        <f t="shared" si="31"/>
        <v>0</v>
      </c>
      <c r="BH44" s="221">
        <f t="shared" si="31"/>
        <v>0</v>
      </c>
      <c r="BI44" s="221">
        <f t="shared" si="31"/>
        <v>0</v>
      </c>
      <c r="BJ44" s="221">
        <f t="shared" si="31"/>
        <v>0</v>
      </c>
      <c r="BK44" s="221">
        <f t="shared" si="31"/>
        <v>0</v>
      </c>
      <c r="BL44" s="221">
        <f t="shared" si="31"/>
        <v>0</v>
      </c>
      <c r="BM44" s="221">
        <f t="shared" si="31"/>
        <v>0</v>
      </c>
      <c r="BN44" s="221">
        <f t="shared" si="31"/>
        <v>0</v>
      </c>
      <c r="BO44" s="221">
        <f t="shared" si="31"/>
        <v>0</v>
      </c>
      <c r="BP44" s="221">
        <f t="shared" si="31"/>
        <v>0</v>
      </c>
      <c r="BQ44" s="221">
        <f t="shared" si="23"/>
        <v>0</v>
      </c>
      <c r="BR44" s="232">
        <f>ROUND(BQ44,0)</f>
        <v>0</v>
      </c>
    </row>
    <row r="45" spans="2:71" ht="18.95" customHeight="1" x14ac:dyDescent="0.15">
      <c r="B45" s="102">
        <v>4100000</v>
      </c>
      <c r="C45" s="101">
        <v>85</v>
      </c>
      <c r="D45" s="102">
        <v>685000</v>
      </c>
      <c r="O45" s="126"/>
      <c r="P45" s="135" t="s">
        <v>189</v>
      </c>
      <c r="U45" s="117"/>
      <c r="X45" s="149" t="str">
        <f t="shared" si="30"/>
        <v>５</v>
      </c>
      <c r="Y45" s="155" t="str">
        <f t="shared" si="30"/>
        <v/>
      </c>
      <c r="Z45" s="167" t="str">
        <f>IF(BE64="","",ROUND(IF(BE$73&lt;ROUNDDOWN(税率・条件!$C$8/12,0),BE63+BE64,BE63*(((税率・条件!$C$8/12)-BE$72)/BE$71)+BE64),0))</f>
        <v/>
      </c>
      <c r="AA45" s="174" t="str">
        <f>IF(BF64="","",ROUND(IF(BF$73&lt;ROUNDDOWN(税率・条件!$C$8/12,0),BF63+BF64,BF63*(((税率・条件!$C$8/12)-BF$72)/BF$71)+BF64),0))</f>
        <v/>
      </c>
      <c r="AB45" s="174" t="str">
        <f>IF(BG64="","",ROUND(IF(BG$73&lt;ROUNDDOWN(税率・条件!$C$8/12,0),BG63+BG64,BG63*(((税率・条件!$C$8/12)-BG$72)/BG$71)+BG64),0))</f>
        <v/>
      </c>
      <c r="AC45" s="174" t="str">
        <f>IF(BH64="","",ROUND(IF(BH$73&lt;ROUNDDOWN(税率・条件!$C$8/12,0),BH63+BH64,BH63*(((税率・条件!$C$8/12)-BH$72)/BH$71)+BH64),0))</f>
        <v/>
      </c>
      <c r="AD45" s="174" t="str">
        <f>IF(BI64="","",ROUND(IF(BI$73&lt;ROUNDDOWN(税率・条件!$C$8/12,0),BI63+BI64,BI63*(((税率・条件!$C$8/12)-BI$72)/BI$71)+BI64),0))</f>
        <v/>
      </c>
      <c r="AE45" s="174" t="str">
        <f>IF(BJ64="","",ROUND(IF(BJ$73&lt;ROUNDDOWN(税率・条件!$C$8/12,0),BJ63+BJ64,BJ63*(((税率・条件!$C$8/12)-BJ$72)/BJ$71)+BJ64),0))</f>
        <v/>
      </c>
      <c r="AF45" s="174" t="str">
        <f>IF(BK64="","",ROUND(IF(BK$73&lt;ROUNDDOWN(税率・条件!$C$8/12,0),BK63+BK64,BK63*(((税率・条件!$C$8/12)-BK$72)/BK$71)+BK64),0))</f>
        <v/>
      </c>
      <c r="AG45" s="174" t="str">
        <f>IF(BL64="","",ROUND(IF(BL$73&lt;ROUNDDOWN(税率・条件!$C$8/12,0),BL63+BL64,BL63*(((税率・条件!$C$8/12)-BL$72)/BL$71)+BL64),0))</f>
        <v/>
      </c>
      <c r="AH45" s="174" t="str">
        <f>IF(BM64="","",ROUND(IF(BM$73&lt;ROUNDDOWN(税率・条件!$C$8/12,0),BM63+BM64,BM63*(((税率・条件!$C$8/12)-BM$72)/BM$71)+BM64),0))</f>
        <v/>
      </c>
      <c r="AI45" s="177" t="str">
        <f>IF(BN64="","",ROUND(IF(BN$73&lt;ROUNDDOWN(税率・条件!$C$8/12,0),BN63+BN64,BN63*(((税率・条件!$C$8/12)-BN$72)/BN$71)+BN64),0))</f>
        <v/>
      </c>
      <c r="AJ45" s="177" t="str">
        <f>IF(BO64="","",ROUND(IF(BO$73&lt;ROUNDDOWN(税率・条件!$C$8/12,0),BO63+BO64,BO63*(((税率・条件!$C$8/12)-BO$72)/BO$71)+BO64),0))</f>
        <v/>
      </c>
      <c r="AK45" s="177" t="str">
        <f>IF(BP64="","",ROUND(IF(BP$73&lt;ROUNDDOWN(税率・条件!$C$8/12,0),BP63+BP64,BP63*(((税率・条件!$C$8/12)-BP$72)/BP$71)+BP64),0))</f>
        <v/>
      </c>
      <c r="AL45" s="183" t="str">
        <f>IF(X12="","",SUM(Z45:AK45))</f>
        <v/>
      </c>
      <c r="AM45" s="187"/>
      <c r="AN45" s="191"/>
      <c r="AO45" s="186"/>
      <c r="AP45" s="186"/>
      <c r="AQ45" s="191"/>
      <c r="AR45" s="186"/>
      <c r="AS45" s="186"/>
      <c r="AT45" s="191"/>
      <c r="AU45" s="186"/>
      <c r="AV45" s="186"/>
      <c r="AW45" s="191"/>
      <c r="AX45" s="187"/>
      <c r="AY45" s="187"/>
      <c r="AZ45" s="203"/>
      <c r="BA45" s="125"/>
      <c r="BB45" s="207"/>
      <c r="BD45" s="211" t="s">
        <v>185</v>
      </c>
      <c r="BE45" s="218">
        <f t="shared" ref="BE45:BP45" si="32">SUM(BE41:BE44)</f>
        <v>0</v>
      </c>
      <c r="BF45" s="218">
        <f t="shared" si="32"/>
        <v>0</v>
      </c>
      <c r="BG45" s="218">
        <f t="shared" si="32"/>
        <v>0</v>
      </c>
      <c r="BH45" s="218">
        <f t="shared" si="32"/>
        <v>0</v>
      </c>
      <c r="BI45" s="218">
        <f t="shared" si="32"/>
        <v>0</v>
      </c>
      <c r="BJ45" s="218">
        <f t="shared" si="32"/>
        <v>0</v>
      </c>
      <c r="BK45" s="218">
        <f t="shared" si="32"/>
        <v>0</v>
      </c>
      <c r="BL45" s="218">
        <f t="shared" si="32"/>
        <v>0</v>
      </c>
      <c r="BM45" s="218">
        <f t="shared" si="32"/>
        <v>0</v>
      </c>
      <c r="BN45" s="218">
        <f t="shared" si="32"/>
        <v>0</v>
      </c>
      <c r="BO45" s="218">
        <f t="shared" si="32"/>
        <v>0</v>
      </c>
      <c r="BP45" s="218">
        <f t="shared" si="32"/>
        <v>0</v>
      </c>
      <c r="BQ45" s="218">
        <f t="shared" si="23"/>
        <v>0</v>
      </c>
      <c r="BR45" s="233">
        <f>ROUND(BQ45,0)</f>
        <v>0</v>
      </c>
    </row>
    <row r="46" spans="2:71" ht="18.95" customHeight="1" x14ac:dyDescent="0.15">
      <c r="B46" s="102">
        <v>7700000</v>
      </c>
      <c r="C46" s="101">
        <v>95</v>
      </c>
      <c r="D46" s="102">
        <v>1455000</v>
      </c>
      <c r="X46" s="149" t="str">
        <f t="shared" si="30"/>
        <v>６</v>
      </c>
      <c r="Y46" s="155" t="str">
        <f t="shared" si="30"/>
        <v/>
      </c>
      <c r="Z46" s="167" t="str">
        <f>IF(BE66="","",ROUND(IF(BE$73&lt;ROUNDDOWN(税率・条件!$C$8/12,0),BE65+BE66,BE65*(((税率・条件!$C$8/12)-BE$72)/BE$71)+BE66),0))</f>
        <v/>
      </c>
      <c r="AA46" s="174" t="str">
        <f>IF(BF66="","",ROUND(IF(BF$73&lt;ROUNDDOWN(税率・条件!$C$8/12,0),BF65+BF66,BF65*(((税率・条件!$C$8/12)-BF$72)/BF$71)+BF66),0))</f>
        <v/>
      </c>
      <c r="AB46" s="174" t="str">
        <f>IF(BG66="","",ROUND(IF(BG$73&lt;ROUNDDOWN(税率・条件!$C$8/12,0),BG65+BG66,BG65*(((税率・条件!$C$8/12)-BG$72)/BG$71)+BG66),0))</f>
        <v/>
      </c>
      <c r="AC46" s="174" t="str">
        <f>IF(BH66="","",ROUND(IF(BH$73&lt;ROUNDDOWN(税率・条件!$C$8/12,0),BH65+BH66,BH65*(((税率・条件!$C$8/12)-BH$72)/BH$71)+BH66),0))</f>
        <v/>
      </c>
      <c r="AD46" s="174" t="str">
        <f>IF(BI66="","",ROUND(IF(BI$73&lt;ROUNDDOWN(税率・条件!$C$8/12,0),BI65+BI66,BI65*(((税率・条件!$C$8/12)-BI$72)/BI$71)+BI66),0))</f>
        <v/>
      </c>
      <c r="AE46" s="174" t="str">
        <f>IF(BJ66="","",ROUND(IF(BJ$73&lt;ROUNDDOWN(税率・条件!$C$8/12,0),BJ65+BJ66,BJ65*(((税率・条件!$C$8/12)-BJ$72)/BJ$71)+BJ66),0))</f>
        <v/>
      </c>
      <c r="AF46" s="174" t="str">
        <f>IF(BK66="","",ROUND(IF(BK$73&lt;ROUNDDOWN(税率・条件!$C$8/12,0),BK65+BK66,BK65*(((税率・条件!$C$8/12)-BK$72)/BK$71)+BK66),0))</f>
        <v/>
      </c>
      <c r="AG46" s="174" t="str">
        <f>IF(BL66="","",ROUND(IF(BL$73&lt;ROUNDDOWN(税率・条件!$C$8/12,0),BL65+BL66,BL65*(((税率・条件!$C$8/12)-BL$72)/BL$71)+BL66),0))</f>
        <v/>
      </c>
      <c r="AH46" s="174" t="str">
        <f>IF(BM66="","",ROUND(IF(BM$73&lt;ROUNDDOWN(税率・条件!$C$8/12,0),BM65+BM66,BM65*(((税率・条件!$C$8/12)-BM$72)/BM$71)+BM66),0))</f>
        <v/>
      </c>
      <c r="AI46" s="177" t="str">
        <f>IF(BN66="","",ROUND(IF(BN$73&lt;ROUNDDOWN(税率・条件!$C$8/12,0),BN65+BN66,BN65*(((税率・条件!$C$8/12)-BN$72)/BN$71)+BN66),0))</f>
        <v/>
      </c>
      <c r="AJ46" s="177" t="str">
        <f>IF(BO66="","",ROUND(IF(BO$73&lt;ROUNDDOWN(税率・条件!$C$8/12,0),BO65+BO66,BO65*(((税率・条件!$C$8/12)-BO$72)/BO$71)+BO66),0))</f>
        <v/>
      </c>
      <c r="AK46" s="177" t="str">
        <f>IF(BP66="","",ROUND(IF(BP$73&lt;ROUNDDOWN(税率・条件!$C$8/12,0),BP65+BP66,BP65*(((税率・条件!$C$8/12)-BP$72)/BP$71)+BP66),0))</f>
        <v/>
      </c>
      <c r="AL46" s="183" t="str">
        <f>IF(X14="","",SUM(Z46:AK46))</f>
        <v/>
      </c>
      <c r="AM46" s="187"/>
      <c r="AN46" s="191"/>
      <c r="AO46" s="186"/>
      <c r="AP46" s="186"/>
      <c r="AQ46" s="191"/>
      <c r="AR46" s="186"/>
      <c r="AS46" s="186"/>
      <c r="AT46" s="191"/>
      <c r="AU46" s="186"/>
      <c r="AV46" s="186"/>
      <c r="AW46" s="191"/>
      <c r="AX46" s="187"/>
      <c r="AY46" s="187"/>
      <c r="AZ46" s="203"/>
      <c r="BA46" s="125"/>
      <c r="BB46" s="207"/>
      <c r="BR46" s="1" t="s">
        <v>166</v>
      </c>
    </row>
    <row r="47" spans="2:71" ht="18.95" customHeight="1" x14ac:dyDescent="0.15">
      <c r="B47" s="102">
        <v>10000001</v>
      </c>
      <c r="C47" s="101">
        <v>100</v>
      </c>
      <c r="D47" s="102">
        <v>1955000</v>
      </c>
      <c r="P47" s="354" t="str">
        <f>IF(OR(U24&lt;&gt;"",U25&lt;&gt;"",U29&lt;&gt;"",U30&lt;&gt;"",U34&lt;&gt;"",U35&lt;&gt;""),"注意：所得割及び資産割欄の右に「月割限度。」と表示されている場合、月割り限度額を超えた月が存在しており、上限額を超えた部分を所得割と資産割の算出額を再按分し調整を行った後の額となっております。","")</f>
        <v/>
      </c>
      <c r="Q47" s="355"/>
      <c r="R47" s="355"/>
      <c r="S47" s="355"/>
      <c r="T47" s="355"/>
      <c r="U47" s="355"/>
      <c r="V47" s="355"/>
      <c r="X47" s="149" t="str">
        <f t="shared" si="30"/>
        <v>７</v>
      </c>
      <c r="Y47" s="155" t="str">
        <f t="shared" si="30"/>
        <v/>
      </c>
      <c r="Z47" s="167" t="str">
        <f>IF(BE68="","",ROUND(IF(BE$73&lt;ROUNDDOWN(税率・条件!$C$8/12,0),BE67+BE68,BE67*(((税率・条件!$C$8/12)-BE$72)/BE$71)+BE68),0))</f>
        <v/>
      </c>
      <c r="AA47" s="174" t="str">
        <f>IF(BF68="","",ROUND(IF(BF$73&lt;ROUNDDOWN(税率・条件!$C$8/12,0),BF67+BF68,BF67*(((税率・条件!$C$8/12)-BF$72)/BF$71)+BF68),0))</f>
        <v/>
      </c>
      <c r="AB47" s="174" t="str">
        <f>IF(BG68="","",ROUND(IF(BG$73&lt;ROUNDDOWN(税率・条件!$C$8/12,0),BG67+BG68,BG67*(((税率・条件!$C$8/12)-BG$72)/BG$71)+BG68),0))</f>
        <v/>
      </c>
      <c r="AC47" s="174" t="str">
        <f>IF(BH68="","",ROUND(IF(BH$73&lt;ROUNDDOWN(税率・条件!$C$8/12,0),BH67+BH68,BH67*(((税率・条件!$C$8/12)-BH$72)/BH$71)+BH68),0))</f>
        <v/>
      </c>
      <c r="AD47" s="174" t="str">
        <f>IF(BI68="","",ROUND(IF(BI$73&lt;ROUNDDOWN(税率・条件!$C$8/12,0),BI67+BI68,BI67*(((税率・条件!$C$8/12)-BI$72)/BI$71)+BI68),0))</f>
        <v/>
      </c>
      <c r="AE47" s="174" t="str">
        <f>IF(BJ68="","",ROUND(IF(BJ$73&lt;ROUNDDOWN(税率・条件!$C$8/12,0),BJ67+BJ68,BJ67*(((税率・条件!$C$8/12)-BJ$72)/BJ$71)+BJ68),0))</f>
        <v/>
      </c>
      <c r="AF47" s="174" t="str">
        <f>IF(BK68="","",ROUND(IF(BK$73&lt;ROUNDDOWN(税率・条件!$C$8/12,0),BK67+BK68,BK67*(((税率・条件!$C$8/12)-BK$72)/BK$71)+BK68),0))</f>
        <v/>
      </c>
      <c r="AG47" s="174" t="str">
        <f>IF(BL68="","",ROUND(IF(BL$73&lt;ROUNDDOWN(税率・条件!$C$8/12,0),BL67+BL68,BL67*(((税率・条件!$C$8/12)-BL$72)/BL$71)+BL68),0))</f>
        <v/>
      </c>
      <c r="AH47" s="174" t="str">
        <f>IF(BM68="","",ROUND(IF(BM$73&lt;ROUNDDOWN(税率・条件!$C$8/12,0),BM67+BM68,BM67*(((税率・条件!$C$8/12)-BM$72)/BM$71)+BM68),0))</f>
        <v/>
      </c>
      <c r="AI47" s="177" t="str">
        <f>IF(BN68="","",ROUND(IF(BN$73&lt;ROUNDDOWN(税率・条件!$C$8/12,0),BN67+BN68,BN67*(((税率・条件!$C$8/12)-BN$72)/BN$71)+BN68),0))</f>
        <v/>
      </c>
      <c r="AJ47" s="177" t="str">
        <f>IF(BO68="","",ROUND(IF(BO$73&lt;ROUNDDOWN(税率・条件!$C$8/12,0),BO67+BO68,BO67*(((税率・条件!$C$8/12)-BO$72)/BO$71)+BO68),0))</f>
        <v/>
      </c>
      <c r="AK47" s="177" t="str">
        <f>IF(BP68="","",ROUND(IF(BP$73&lt;ROUNDDOWN(税率・条件!$C$8/12,0),BP67+BP68,BP67*(((税率・条件!$C$8/12)-BP$72)/BP$71)+BP68),0))</f>
        <v/>
      </c>
      <c r="AL47" s="183" t="str">
        <f>IF(X16="","",SUM(Z47:AK47))</f>
        <v/>
      </c>
      <c r="AM47" s="187"/>
      <c r="AN47" s="191"/>
      <c r="AO47" s="186"/>
      <c r="AP47" s="186"/>
      <c r="AQ47" s="191"/>
      <c r="AR47" s="186"/>
      <c r="AS47" s="186"/>
      <c r="AT47" s="191"/>
      <c r="AU47" s="186"/>
      <c r="AV47" s="186"/>
      <c r="AW47" s="191"/>
      <c r="AX47" s="187"/>
      <c r="AY47" s="187"/>
      <c r="AZ47" s="203"/>
      <c r="BA47" s="125"/>
      <c r="BB47" s="207"/>
    </row>
    <row r="48" spans="2:71" ht="18.95" customHeight="1" x14ac:dyDescent="0.15">
      <c r="P48" s="355"/>
      <c r="Q48" s="355"/>
      <c r="R48" s="355"/>
      <c r="S48" s="355"/>
      <c r="T48" s="355"/>
      <c r="U48" s="355"/>
      <c r="V48" s="355"/>
      <c r="X48" s="152" t="str">
        <f t="shared" si="30"/>
        <v>８</v>
      </c>
      <c r="Y48" s="159" t="str">
        <f t="shared" si="30"/>
        <v/>
      </c>
      <c r="Z48" s="167" t="str">
        <f>IF(BE70="","",ROUND(IF(BE$73&lt;ROUNDDOWN(税率・条件!$C$8/12,0),BE69+BE70,BE69*(((税率・条件!$C$8/12)-BE$72)/BE$71)+BE70),0))</f>
        <v/>
      </c>
      <c r="AA48" s="174" t="str">
        <f>IF(BF70="","",ROUND(IF(BF$73&lt;ROUNDDOWN(税率・条件!$C$8/12,0),BF69+BF70,BF69*(((税率・条件!$C$8/12)-BF$72)/BF$71)+BF70),0))</f>
        <v/>
      </c>
      <c r="AB48" s="174" t="str">
        <f>IF(BG70="","",ROUND(IF(BG$73&lt;ROUNDDOWN(税率・条件!$C$8/12,0),BG69+BG70,BG69*(((税率・条件!$C$8/12)-BG$72)/BG$71)+BG70),0))</f>
        <v/>
      </c>
      <c r="AC48" s="174" t="str">
        <f>IF(BH70="","",ROUND(IF(BH$73&lt;ROUNDDOWN(税率・条件!$C$8/12,0),BH69+BH70,BH69*(((税率・条件!$C$8/12)-BH$72)/BH$71)+BH70),0))</f>
        <v/>
      </c>
      <c r="AD48" s="174" t="str">
        <f>IF(BI70="","",ROUND(IF(BI$73&lt;ROUNDDOWN(税率・条件!$C$8/12,0),BI69+BI70,BI69*(((税率・条件!$C$8/12)-BI$72)/BI$71)+BI70),0))</f>
        <v/>
      </c>
      <c r="AE48" s="174" t="str">
        <f>IF(BJ70="","",ROUND(IF(BJ$73&lt;ROUNDDOWN(税率・条件!$C$8/12,0),BJ69+BJ70,BJ69*(((税率・条件!$C$8/12)-BJ$72)/BJ$71)+BJ70),0))</f>
        <v/>
      </c>
      <c r="AF48" s="174" t="str">
        <f>IF(BK70="","",ROUND(IF(BK$73&lt;ROUNDDOWN(税率・条件!$C$8/12,0),BK69+BK70,BK69*(((税率・条件!$C$8/12)-BK$72)/BK$71)+BK70),0))</f>
        <v/>
      </c>
      <c r="AG48" s="174" t="str">
        <f>IF(BL70="","",ROUND(IF(BL$73&lt;ROUNDDOWN(税率・条件!$C$8/12,0),BL69+BL70,BL69*(((税率・条件!$C$8/12)-BL$72)/BL$71)+BL70),0))</f>
        <v/>
      </c>
      <c r="AH48" s="174" t="str">
        <f>IF(BM70="","",ROUND(IF(BM$73&lt;ROUNDDOWN(税率・条件!$C$8/12,0),BM69+BM70,BM69*(((税率・条件!$C$8/12)-BM$72)/BM$71)+BM70),0))</f>
        <v/>
      </c>
      <c r="AI48" s="177" t="str">
        <f>IF(BN70="","",ROUND(IF(BN$73&lt;ROUNDDOWN(税率・条件!$C$8/12,0),BN69+BN70,BN69*(((税率・条件!$C$8/12)-BN$72)/BN$71)+BN70),0))</f>
        <v/>
      </c>
      <c r="AJ48" s="177" t="str">
        <f>IF(BO70="","",ROUND(IF(BO$73&lt;ROUNDDOWN(税率・条件!$C$8/12,0),BO69+BO70,BO69*(((税率・条件!$C$8/12)-BO$72)/BO$71)+BO70),0))</f>
        <v/>
      </c>
      <c r="AK48" s="177" t="str">
        <f>IF(BP70="","",ROUND(IF(BP$73&lt;ROUNDDOWN(税率・条件!$C$8/12,0),BP69+BP70,BP69*(((税率・条件!$C$8/12)-BP$72)/BP$71)+BP70),0))</f>
        <v/>
      </c>
      <c r="AL48" s="183" t="str">
        <f>IF(X18="","",SUM(Z48:AK48))</f>
        <v/>
      </c>
      <c r="AM48" s="187"/>
      <c r="AN48" s="191"/>
      <c r="AO48" s="186"/>
      <c r="AP48" s="186"/>
      <c r="AQ48" s="191"/>
      <c r="AR48" s="186"/>
      <c r="AS48" s="186"/>
      <c r="AT48" s="191"/>
      <c r="AU48" s="186"/>
      <c r="AV48" s="186"/>
      <c r="AW48" s="191"/>
      <c r="AX48" s="187"/>
      <c r="AY48" s="187"/>
      <c r="AZ48" s="203"/>
      <c r="BA48" s="125"/>
      <c r="BB48" s="207"/>
    </row>
    <row r="49" spans="12:68" ht="18.95" customHeight="1" x14ac:dyDescent="0.15">
      <c r="P49" s="355"/>
      <c r="Q49" s="355"/>
      <c r="R49" s="355"/>
      <c r="S49" s="355"/>
      <c r="T49" s="355"/>
      <c r="U49" s="355"/>
      <c r="V49" s="355"/>
      <c r="X49" s="343" t="s">
        <v>145</v>
      </c>
      <c r="Y49" s="344"/>
      <c r="Z49" s="168">
        <f t="shared" ref="Z49:AL49" si="33">SUM(Z41:Z48)</f>
        <v>0</v>
      </c>
      <c r="AA49" s="175">
        <f t="shared" si="33"/>
        <v>0</v>
      </c>
      <c r="AB49" s="175">
        <f t="shared" si="33"/>
        <v>0</v>
      </c>
      <c r="AC49" s="175">
        <f t="shared" si="33"/>
        <v>0</v>
      </c>
      <c r="AD49" s="175">
        <f t="shared" si="33"/>
        <v>0</v>
      </c>
      <c r="AE49" s="175">
        <f t="shared" si="33"/>
        <v>0</v>
      </c>
      <c r="AF49" s="175">
        <f t="shared" si="33"/>
        <v>0</v>
      </c>
      <c r="AG49" s="175">
        <f t="shared" si="33"/>
        <v>0</v>
      </c>
      <c r="AH49" s="175">
        <f t="shared" si="33"/>
        <v>0</v>
      </c>
      <c r="AI49" s="178">
        <f t="shared" si="33"/>
        <v>0</v>
      </c>
      <c r="AJ49" s="178">
        <f t="shared" si="33"/>
        <v>0</v>
      </c>
      <c r="AK49" s="181">
        <f t="shared" si="33"/>
        <v>0</v>
      </c>
      <c r="AL49" s="184">
        <f t="shared" si="33"/>
        <v>0</v>
      </c>
      <c r="AM49" s="187"/>
      <c r="AN49" s="191"/>
      <c r="AO49" s="187"/>
      <c r="AP49" s="187"/>
      <c r="AQ49" s="191"/>
      <c r="AR49" s="187"/>
      <c r="AS49" s="187"/>
      <c r="AT49" s="191"/>
      <c r="AU49" s="187"/>
      <c r="AV49" s="187"/>
      <c r="AW49" s="191"/>
      <c r="AX49" s="187"/>
      <c r="AY49" s="187"/>
      <c r="AZ49" s="203"/>
      <c r="BA49" s="125"/>
      <c r="BB49" s="207"/>
    </row>
    <row r="50" spans="12:68" ht="18.95" customHeight="1" x14ac:dyDescent="0.15">
      <c r="P50" s="355"/>
      <c r="Q50" s="355"/>
      <c r="R50" s="355"/>
      <c r="S50" s="355"/>
      <c r="T50" s="355"/>
      <c r="U50" s="355"/>
      <c r="V50" s="355"/>
      <c r="Y50" s="160" t="s">
        <v>170</v>
      </c>
      <c r="Z50" s="169" t="str">
        <f>IF(BE$73&lt;ROUNDDOWN(税率・条件!$C$8/12,0),"","該当")</f>
        <v/>
      </c>
      <c r="AA50" s="169" t="str">
        <f>IF(BF$73&lt;ROUNDDOWN(税率・条件!$C$8/12,0),"","該当")</f>
        <v/>
      </c>
      <c r="AB50" s="169" t="str">
        <f>IF(BG$73&lt;ROUNDDOWN(税率・条件!$C$8/12,0),"","該当")</f>
        <v/>
      </c>
      <c r="AC50" s="169" t="str">
        <f>IF(BH$73&lt;ROUNDDOWN(税率・条件!$C$8/12,0),"","該当")</f>
        <v/>
      </c>
      <c r="AD50" s="169" t="str">
        <f>IF(BI$73&lt;ROUNDDOWN(税率・条件!$C$8/12,0),"","該当")</f>
        <v/>
      </c>
      <c r="AE50" s="169" t="str">
        <f>IF(BJ$73&lt;ROUNDDOWN(税率・条件!$C$8/12,0),"","該当")</f>
        <v/>
      </c>
      <c r="AF50" s="169" t="str">
        <f>IF(BK$73&lt;ROUNDDOWN(税率・条件!$C$8/12,0),"","該当")</f>
        <v/>
      </c>
      <c r="AG50" s="169" t="str">
        <f>IF(BL$73&lt;ROUNDDOWN(税率・条件!$C$8/12,0),"","該当")</f>
        <v/>
      </c>
      <c r="AH50" s="169" t="str">
        <f>IF(BM$73&lt;ROUNDDOWN(税率・条件!$C$8/12,0),"","該当")</f>
        <v/>
      </c>
      <c r="AI50" s="179" t="str">
        <f>IF(BN$73&lt;ROUNDDOWN(税率・条件!$C$8/12,0),"","該当")</f>
        <v/>
      </c>
      <c r="AJ50" s="179" t="str">
        <f>IF(BO$73&lt;ROUNDDOWN(税率・条件!$C$8/12,0),"","該当")</f>
        <v/>
      </c>
      <c r="AK50" s="179" t="str">
        <f>IF(BP$73&lt;ROUNDDOWN(税率・条件!$C$8/12,0),"","該当")</f>
        <v/>
      </c>
      <c r="AL50" s="169"/>
      <c r="AM50" s="169"/>
      <c r="AO50" s="196"/>
      <c r="AP50" s="196"/>
      <c r="AR50" s="196"/>
      <c r="AS50" s="196"/>
      <c r="AU50" s="196"/>
      <c r="AV50" s="196"/>
      <c r="AW50" s="345"/>
      <c r="AX50" s="346"/>
      <c r="AY50" s="346"/>
      <c r="AZ50" s="121"/>
      <c r="BA50" s="121"/>
      <c r="BB50" s="121"/>
    </row>
    <row r="51" spans="12:68" ht="18.95" customHeight="1" x14ac:dyDescent="0.15">
      <c r="AZ51" s="121"/>
      <c r="BA51" s="121"/>
      <c r="BB51" s="121"/>
    </row>
    <row r="52" spans="12:68" ht="18.95" customHeight="1" x14ac:dyDescent="0.15">
      <c r="L52" s="356" t="str">
        <f>IF(OR(BB20="",M33&lt;&gt;"申告有"),"",IF(AN20=IF(AZ20=1,AZ3+12,IF(AY20=1,AY3+12,IF(AX20=1,AX3+12,IF(AW20=1,AW3,IF(AV20=1,AV3,IF(AU20=1,AU3,IF(AT20=1,AT3,IF(AS20=1,AS3,IF(AR20=1,AR3,IF(AQ20=1,AQ3,IF(AP20=1,AP3,IF(AO20=1,AO3,""))))))))))))-IF(BB20&lt;4,BB20+12,BB20)+1,"","※ 注意！！！"&amp;CHAR(10)&amp;"年度途中で中抜け期間があります。再加入時の軽減率が異なる場合があります。"))</f>
        <v/>
      </c>
      <c r="M52" s="357"/>
      <c r="N52" s="357"/>
      <c r="O52" s="357"/>
      <c r="P52" s="357"/>
      <c r="Q52" s="357"/>
      <c r="R52" s="357"/>
      <c r="S52" s="357"/>
      <c r="T52" s="357"/>
      <c r="X52" s="1" t="str">
        <f>"後期分各個人月別計（令和"&amp;DBCS(税率・条件!C1)&amp;"年度税率）"</f>
        <v>後期分各個人月別計（令和８年度税率）</v>
      </c>
      <c r="AD52" s="1" t="s">
        <v>83</v>
      </c>
      <c r="AZ52" s="121"/>
      <c r="BA52" s="121"/>
      <c r="BB52" s="121"/>
      <c r="BD52" s="119" t="s">
        <v>188</v>
      </c>
    </row>
    <row r="53" spans="12:68" ht="18.95" customHeight="1" x14ac:dyDescent="0.15">
      <c r="L53" s="357"/>
      <c r="M53" s="357"/>
      <c r="N53" s="357"/>
      <c r="O53" s="357"/>
      <c r="P53" s="357"/>
      <c r="Q53" s="357"/>
      <c r="R53" s="357"/>
      <c r="S53" s="357"/>
      <c r="T53" s="357"/>
      <c r="X53" s="350"/>
      <c r="Y53" s="352" t="s">
        <v>72</v>
      </c>
      <c r="Z53" s="297" t="s">
        <v>70</v>
      </c>
      <c r="AA53" s="337"/>
      <c r="AB53" s="337"/>
      <c r="AC53" s="337"/>
      <c r="AD53" s="337"/>
      <c r="AE53" s="337"/>
      <c r="AF53" s="337"/>
      <c r="AG53" s="337"/>
      <c r="AH53" s="337"/>
      <c r="AI53" s="337"/>
      <c r="AJ53" s="337"/>
      <c r="AK53" s="337"/>
      <c r="AL53" s="299"/>
      <c r="AM53" s="186"/>
      <c r="AN53" s="186"/>
      <c r="AO53" s="186"/>
      <c r="AP53" s="186"/>
      <c r="AQ53" s="186"/>
      <c r="AR53" s="186"/>
      <c r="AS53" s="186"/>
      <c r="AT53" s="186"/>
      <c r="AU53" s="186"/>
      <c r="AV53" s="186"/>
      <c r="AW53" s="186"/>
      <c r="AX53" s="186"/>
      <c r="AY53" s="186"/>
      <c r="AZ53" s="121"/>
      <c r="BA53" s="121"/>
      <c r="BB53" s="206"/>
      <c r="BE53" s="1" t="s">
        <v>2</v>
      </c>
    </row>
    <row r="54" spans="12:68" ht="18.95" customHeight="1" x14ac:dyDescent="0.15">
      <c r="L54" s="357"/>
      <c r="M54" s="357"/>
      <c r="N54" s="357"/>
      <c r="O54" s="357"/>
      <c r="P54" s="357"/>
      <c r="Q54" s="357"/>
      <c r="R54" s="357"/>
      <c r="S54" s="357"/>
      <c r="T54" s="357"/>
      <c r="X54" s="351"/>
      <c r="Y54" s="353"/>
      <c r="Z54" s="166" t="s">
        <v>124</v>
      </c>
      <c r="AA54" s="173" t="s">
        <v>105</v>
      </c>
      <c r="AB54" s="173" t="s">
        <v>138</v>
      </c>
      <c r="AC54" s="173" t="s">
        <v>139</v>
      </c>
      <c r="AD54" s="173" t="s">
        <v>112</v>
      </c>
      <c r="AE54" s="173" t="s">
        <v>63</v>
      </c>
      <c r="AF54" s="173" t="s">
        <v>129</v>
      </c>
      <c r="AG54" s="173" t="s">
        <v>61</v>
      </c>
      <c r="AH54" s="173" t="s">
        <v>140</v>
      </c>
      <c r="AI54" s="176" t="s">
        <v>141</v>
      </c>
      <c r="AJ54" s="176" t="s">
        <v>142</v>
      </c>
      <c r="AK54" s="176" t="s">
        <v>143</v>
      </c>
      <c r="AL54" s="182" t="s">
        <v>56</v>
      </c>
      <c r="AM54" s="9"/>
      <c r="AN54" s="191"/>
      <c r="AO54" s="195"/>
      <c r="AP54" s="195"/>
      <c r="AQ54" s="191"/>
      <c r="AR54" s="195"/>
      <c r="AS54" s="195"/>
      <c r="AT54" s="191"/>
      <c r="AU54" s="195"/>
      <c r="AV54" s="195"/>
      <c r="AW54" s="191"/>
      <c r="AX54" s="195"/>
      <c r="AY54" s="195"/>
      <c r="AZ54" s="202"/>
      <c r="BA54" s="125"/>
      <c r="BB54" s="207"/>
      <c r="BD54" s="212"/>
      <c r="BE54" s="109">
        <v>4</v>
      </c>
      <c r="BF54" s="109">
        <v>5</v>
      </c>
      <c r="BG54" s="109">
        <v>6</v>
      </c>
      <c r="BH54" s="109">
        <v>7</v>
      </c>
      <c r="BI54" s="109">
        <v>8</v>
      </c>
      <c r="BJ54" s="109">
        <v>9</v>
      </c>
      <c r="BK54" s="109">
        <v>10</v>
      </c>
      <c r="BL54" s="109">
        <v>11</v>
      </c>
      <c r="BM54" s="109">
        <v>12</v>
      </c>
      <c r="BN54" s="109">
        <v>1</v>
      </c>
      <c r="BO54" s="109">
        <v>2</v>
      </c>
      <c r="BP54" s="109">
        <v>3</v>
      </c>
    </row>
    <row r="55" spans="12:68" ht="18.95" customHeight="1" x14ac:dyDescent="0.15">
      <c r="L55" s="357"/>
      <c r="M55" s="357"/>
      <c r="N55" s="357"/>
      <c r="O55" s="357"/>
      <c r="P55" s="357"/>
      <c r="Q55" s="357"/>
      <c r="R55" s="357"/>
      <c r="S55" s="357"/>
      <c r="T55" s="357"/>
      <c r="X55" s="149" t="str">
        <f t="shared" ref="X55:Y62" si="34">X41</f>
        <v>世帯主</v>
      </c>
      <c r="Y55" s="155" t="str">
        <f t="shared" si="34"/>
        <v/>
      </c>
      <c r="Z55" s="167" t="str">
        <f>IF(BE79="","",ROUND(IF(BE$96&lt;ROUNDDOWN(税率・条件!$C$13/12,0),BE78+BE79,BE78*(((税率・条件!$C$13/12)-BE$95)/BE$94)+BE79),0))</f>
        <v/>
      </c>
      <c r="AA55" s="174" t="str">
        <f>IF(BF79="","",ROUND(IF(BF$96&lt;ROUNDDOWN(税率・条件!$C$13/12,0),BF78+BF79,BF78*(((税率・条件!$C$13/12)-BF$95)/BF$94)+BF79),0))</f>
        <v/>
      </c>
      <c r="AB55" s="174" t="str">
        <f>IF(BG79="","",ROUND(IF(BG$96&lt;ROUNDDOWN(税率・条件!$C$13/12,0),BG78+BG79,BG78*(((税率・条件!$C$13/12)-BG$95)/BG$94)+BG79),0))</f>
        <v/>
      </c>
      <c r="AC55" s="174" t="str">
        <f>IF(BH79="","",ROUND(IF(BH$96&lt;ROUNDDOWN(税率・条件!$C$13/12,0),BH78+BH79,BH78*(((税率・条件!$C$13/12)-BH$95)/BH$94)+BH79),0))</f>
        <v/>
      </c>
      <c r="AD55" s="174" t="str">
        <f>IF(BI79="","",ROUND(IF(BI$96&lt;ROUNDDOWN(税率・条件!$C$13/12,0),BI78+BI79,BI78*(((税率・条件!$C$13/12)-BI$95)/BI$94)+BI79),0))</f>
        <v/>
      </c>
      <c r="AE55" s="174" t="str">
        <f>IF(BJ79="","",ROUND(IF(BJ$96&lt;ROUNDDOWN(税率・条件!$C$13/12,0),BJ78+BJ79,BJ78*(((税率・条件!$C$13/12)-BJ$95)/BJ$94)+BJ79),0))</f>
        <v/>
      </c>
      <c r="AF55" s="174" t="str">
        <f>IF(BK79="","",ROUND(IF(BK$96&lt;ROUNDDOWN(税率・条件!$C$13/12,0),BK78+BK79,BK78*(((税率・条件!$C$13/12)-BK$95)/BK$94)+BK79),0))</f>
        <v/>
      </c>
      <c r="AG55" s="174" t="str">
        <f>IF(BL79="","",ROUND(IF(BL$96&lt;ROUNDDOWN(税率・条件!$C$13/12,0),BL78+BL79,BL78*(((税率・条件!$C$13/12)-BL$95)/BL$94)+BL79),0))</f>
        <v/>
      </c>
      <c r="AH55" s="174" t="str">
        <f>IF(BM79="","",ROUND(IF(BM$96&lt;ROUNDDOWN(税率・条件!$C$13/12,0),BM78+BM79,BM78*(((税率・条件!$C$13/12)-BM$95)/BM$94)+BM79),0))</f>
        <v/>
      </c>
      <c r="AI55" s="174" t="str">
        <f>IF(BN79="","",ROUND(IF(BN$96&lt;ROUNDDOWN(税率・条件!$C$13/12,0),BN78+BN79,BN78*(((税率・条件!$C$13/12)-BN$95)/BN$94)+BN79),0))</f>
        <v/>
      </c>
      <c r="AJ55" s="174" t="str">
        <f>IF(BO79="","",ROUND(IF(BO$96&lt;ROUNDDOWN(税率・条件!$C$13/12,0),BO78+BO79,BO78*(((税率・条件!$C$13/12)-BO$95)/BO$94)+BO79),0))</f>
        <v/>
      </c>
      <c r="AK55" s="177" t="str">
        <f>IF(BP79="","",ROUND(IF(BP$96&lt;ROUNDDOWN(税率・条件!$C$13/12,0),BP78+BP79,BP78*(((税率・条件!$C$13/12)-BP$95)/BP$94)+BP79),0))</f>
        <v/>
      </c>
      <c r="AL55" s="183" t="str">
        <f>IF(AC4="","",SUM(Z55:AK55))</f>
        <v/>
      </c>
      <c r="AM55" s="187"/>
      <c r="AN55" s="191"/>
      <c r="AO55" s="186"/>
      <c r="AP55" s="186"/>
      <c r="AQ55" s="191"/>
      <c r="AR55" s="186"/>
      <c r="AS55" s="186"/>
      <c r="AT55" s="191"/>
      <c r="AU55" s="186"/>
      <c r="AV55" s="186"/>
      <c r="AW55" s="191"/>
      <c r="AX55" s="187"/>
      <c r="AY55" s="187"/>
      <c r="AZ55" s="203"/>
      <c r="BA55" s="125"/>
      <c r="BB55" s="207"/>
      <c r="BD55" s="213" t="s">
        <v>153</v>
      </c>
      <c r="BE55" s="222" t="str">
        <f t="shared" ref="BE55:BP55" si="35">IF(AND(AO4="",AO20=1),0,IF(AO4="","",ROUND((SUM($T4:$U5)/12),0)))</f>
        <v/>
      </c>
      <c r="BF55" s="222" t="str">
        <f t="shared" si="35"/>
        <v/>
      </c>
      <c r="BG55" s="222" t="str">
        <f t="shared" si="35"/>
        <v/>
      </c>
      <c r="BH55" s="222" t="str">
        <f t="shared" si="35"/>
        <v/>
      </c>
      <c r="BI55" s="222" t="str">
        <f t="shared" si="35"/>
        <v/>
      </c>
      <c r="BJ55" s="222" t="str">
        <f t="shared" si="35"/>
        <v/>
      </c>
      <c r="BK55" s="222" t="str">
        <f t="shared" si="35"/>
        <v/>
      </c>
      <c r="BL55" s="222" t="str">
        <f t="shared" si="35"/>
        <v/>
      </c>
      <c r="BM55" s="222" t="str">
        <f t="shared" si="35"/>
        <v/>
      </c>
      <c r="BN55" s="222" t="str">
        <f t="shared" si="35"/>
        <v/>
      </c>
      <c r="BO55" s="222" t="str">
        <f t="shared" si="35"/>
        <v/>
      </c>
      <c r="BP55" s="222" t="str">
        <f t="shared" si="35"/>
        <v/>
      </c>
    </row>
    <row r="56" spans="12:68" ht="18.95" customHeight="1" x14ac:dyDescent="0.15">
      <c r="L56" s="357"/>
      <c r="M56" s="357"/>
      <c r="N56" s="357"/>
      <c r="O56" s="357"/>
      <c r="P56" s="357"/>
      <c r="Q56" s="357"/>
      <c r="R56" s="357"/>
      <c r="S56" s="357"/>
      <c r="T56" s="357"/>
      <c r="X56" s="149" t="str">
        <f t="shared" si="34"/>
        <v>２</v>
      </c>
      <c r="Y56" s="155" t="str">
        <f t="shared" si="34"/>
        <v/>
      </c>
      <c r="Z56" s="167" t="str">
        <f>IF(BE81="","",ROUND(IF(BE$96&lt;ROUNDDOWN(税率・条件!$C$13/12,0),BE80+BE81,BE80*(((税率・条件!$C$13/12)-BE$95)/BE$94)+BE81),0))</f>
        <v/>
      </c>
      <c r="AA56" s="174" t="str">
        <f>IF(BF81="","",ROUND(IF(BF$96&lt;ROUNDDOWN(税率・条件!$C$13/12,0),BF80+BF81,BF80*(((税率・条件!$C$13/12)-BF$95)/BF$94)+BF81),0))</f>
        <v/>
      </c>
      <c r="AB56" s="174" t="str">
        <f>IF(BG81="","",ROUND(IF(BG$96&lt;ROUNDDOWN(税率・条件!$C$13/12,0),BG80+BG81,BG80*(((税率・条件!$C$13/12)-BG$95)/BG$94)+BG81),0))</f>
        <v/>
      </c>
      <c r="AC56" s="174" t="str">
        <f>IF(BH81="","",ROUND(IF(BH$96&lt;ROUNDDOWN(税率・条件!$C$13/12,0),BH80+BH81,BH80*(((税率・条件!$C$13/12)-BH$95)/BH$94)+BH81),0))</f>
        <v/>
      </c>
      <c r="AD56" s="174" t="str">
        <f>IF(BI81="","",ROUND(IF(BI$96&lt;ROUNDDOWN(税率・条件!$C$13/12,0),BI80+BI81,BI80*(((税率・条件!$C$13/12)-BI$95)/BI$94)+BI81),0))</f>
        <v/>
      </c>
      <c r="AE56" s="174" t="str">
        <f>IF(BJ81="","",ROUND(IF(BJ$96&lt;ROUNDDOWN(税率・条件!$C$13/12,0),BJ80+BJ81,BJ80*(((税率・条件!$C$13/12)-BJ$95)/BJ$94)+BJ81),0))</f>
        <v/>
      </c>
      <c r="AF56" s="174" t="str">
        <f>IF(BK81="","",ROUND(IF(BK$96&lt;ROUNDDOWN(税率・条件!$C$13/12,0),BK80+BK81,BK80*(((税率・条件!$C$13/12)-BK$95)/BK$94)+BK81),0))</f>
        <v/>
      </c>
      <c r="AG56" s="174" t="str">
        <f>IF(BL81="","",ROUND(IF(BL$96&lt;ROUNDDOWN(税率・条件!$C$13/12,0),BL80+BL81,BL80*(((税率・条件!$C$13/12)-BL$95)/BL$94)+BL81),0))</f>
        <v/>
      </c>
      <c r="AH56" s="174" t="str">
        <f>IF(BM81="","",ROUND(IF(BM$96&lt;ROUNDDOWN(税率・条件!$C$13/12,0),BM80+BM81,BM80*(((税率・条件!$C$13/12)-BM$95)/BM$94)+BM81),0))</f>
        <v/>
      </c>
      <c r="AI56" s="174" t="str">
        <f>IF(BN81="","",ROUND(IF(BN$96&lt;ROUNDDOWN(税率・条件!$C$13/12,0),BN80+BN81,BN80*(((税率・条件!$C$13/12)-BN$95)/BN$94)+BN81),0))</f>
        <v/>
      </c>
      <c r="AJ56" s="174" t="str">
        <f>IF(BO81="","",ROUND(IF(BO$96&lt;ROUNDDOWN(税率・条件!$C$13/12,0),BO80+BO81,BO80*(((税率・条件!$C$13/12)-BO$95)/BO$94)+BO81),0))</f>
        <v/>
      </c>
      <c r="AK56" s="177" t="str">
        <f>IF(BP81="","",ROUND(IF(BP$96&lt;ROUNDDOWN(税率・条件!$C$13/12,0),BP80+BP81,BP80*(((税率・条件!$C$13/12)-BP$95)/BP$94)+BP81),0))</f>
        <v/>
      </c>
      <c r="AL56" s="183" t="str">
        <f>IF(AC6="","",SUM(Z56:AK56))</f>
        <v/>
      </c>
      <c r="AM56" s="187"/>
      <c r="AN56" s="191"/>
      <c r="AO56" s="186"/>
      <c r="AP56" s="186"/>
      <c r="AQ56" s="191"/>
      <c r="AR56" s="186"/>
      <c r="AS56" s="186"/>
      <c r="AT56" s="191"/>
      <c r="AU56" s="186"/>
      <c r="AV56" s="186"/>
      <c r="AW56" s="191"/>
      <c r="AX56" s="187"/>
      <c r="AY56" s="187"/>
      <c r="AZ56" s="203"/>
      <c r="BA56" s="125"/>
      <c r="BB56" s="207"/>
      <c r="BD56" s="214" t="s">
        <v>154</v>
      </c>
      <c r="BE56" s="223" t="str">
        <f t="shared" ref="BE56:BP56" si="36">IF(AO4="",IF(AO20="","",ROUND(SUM($W4:$W5)/12,0)),ROUND(SUM($V4:$W5)/12,0))</f>
        <v/>
      </c>
      <c r="BF56" s="223" t="str">
        <f t="shared" si="36"/>
        <v/>
      </c>
      <c r="BG56" s="223" t="str">
        <f t="shared" si="36"/>
        <v/>
      </c>
      <c r="BH56" s="223" t="str">
        <f t="shared" si="36"/>
        <v/>
      </c>
      <c r="BI56" s="223" t="str">
        <f t="shared" si="36"/>
        <v/>
      </c>
      <c r="BJ56" s="223" t="str">
        <f t="shared" si="36"/>
        <v/>
      </c>
      <c r="BK56" s="223" t="str">
        <f t="shared" si="36"/>
        <v/>
      </c>
      <c r="BL56" s="223" t="str">
        <f t="shared" si="36"/>
        <v/>
      </c>
      <c r="BM56" s="223" t="str">
        <f t="shared" si="36"/>
        <v/>
      </c>
      <c r="BN56" s="223" t="str">
        <f t="shared" si="36"/>
        <v/>
      </c>
      <c r="BO56" s="223" t="str">
        <f t="shared" si="36"/>
        <v/>
      </c>
      <c r="BP56" s="223" t="str">
        <f t="shared" si="36"/>
        <v/>
      </c>
    </row>
    <row r="57" spans="12:68" ht="18.95" customHeight="1" x14ac:dyDescent="0.15">
      <c r="L57" s="358"/>
      <c r="M57" s="358"/>
      <c r="N57" s="358"/>
      <c r="O57" s="358"/>
      <c r="P57" s="358"/>
      <c r="Q57" s="358"/>
      <c r="R57" s="358"/>
      <c r="S57" s="358"/>
      <c r="T57" s="358"/>
      <c r="X57" s="149" t="str">
        <f t="shared" si="34"/>
        <v>３</v>
      </c>
      <c r="Y57" s="155" t="str">
        <f t="shared" si="34"/>
        <v/>
      </c>
      <c r="Z57" s="167" t="str">
        <f>IF(BE83="","",ROUND(IF(BE$96&lt;ROUNDDOWN(税率・条件!$C$13/12,0),BE82+BE83,BE82*(((税率・条件!$C$13/12)-BE$95)/BE$94)+BE83),0))</f>
        <v/>
      </c>
      <c r="AA57" s="174" t="str">
        <f>IF(BF83="","",ROUND(IF(BF$96&lt;ROUNDDOWN(税率・条件!$C$13/12,0),BF82+BF83,BF82*(((税率・条件!$C$13/12)-BF$95)/BF$94)+BF83),0))</f>
        <v/>
      </c>
      <c r="AB57" s="174" t="str">
        <f>IF(BG83="","",ROUND(IF(BG$96&lt;ROUNDDOWN(税率・条件!$C$13/12,0),BG82+BG83,BG82*(((税率・条件!$C$13/12)-BG$95)/BG$94)+BG83),0))</f>
        <v/>
      </c>
      <c r="AC57" s="174" t="str">
        <f>IF(BH83="","",ROUND(IF(BH$96&lt;ROUNDDOWN(税率・条件!$C$13/12,0),BH82+BH83,BH82*(((税率・条件!$C$13/12)-BH$95)/BH$94)+BH83),0))</f>
        <v/>
      </c>
      <c r="AD57" s="174" t="str">
        <f>IF(BI83="","",ROUND(IF(BI$96&lt;ROUNDDOWN(税率・条件!$C$13/12,0),BI82+BI83,BI82*(((税率・条件!$C$13/12)-BI$95)/BI$94)+BI83),0))</f>
        <v/>
      </c>
      <c r="AE57" s="174" t="str">
        <f>IF(BJ83="","",ROUND(IF(BJ$96&lt;ROUNDDOWN(税率・条件!$C$13/12,0),BJ82+BJ83,BJ82*(((税率・条件!$C$13/12)-BJ$95)/BJ$94)+BJ83),0))</f>
        <v/>
      </c>
      <c r="AF57" s="174" t="str">
        <f>IF(BK83="","",ROUND(IF(BK$96&lt;ROUNDDOWN(税率・条件!$C$13/12,0),BK82+BK83,BK82*(((税率・条件!$C$13/12)-BK$95)/BK$94)+BK83),0))</f>
        <v/>
      </c>
      <c r="AG57" s="174" t="str">
        <f>IF(BL83="","",ROUND(IF(BL$96&lt;ROUNDDOWN(税率・条件!$C$13/12,0),BL82+BL83,BL82*(((税率・条件!$C$13/12)-BL$95)/BL$94)+BL83),0))</f>
        <v/>
      </c>
      <c r="AH57" s="174" t="str">
        <f>IF(BM83="","",ROUND(IF(BM$96&lt;ROUNDDOWN(税率・条件!$C$13/12,0),BM82+BM83,BM82*(((税率・条件!$C$13/12)-BM$95)/BM$94)+BM83),0))</f>
        <v/>
      </c>
      <c r="AI57" s="174" t="str">
        <f>IF(BN83="","",ROUND(IF(BN$96&lt;ROUNDDOWN(税率・条件!$C$13/12,0),BN82+BN83,BN82*(((税率・条件!$C$13/12)-BN$95)/BN$94)+BN83),0))</f>
        <v/>
      </c>
      <c r="AJ57" s="174" t="str">
        <f>IF(BO83="","",ROUND(IF(BO$96&lt;ROUNDDOWN(税率・条件!$C$13/12,0),BO82+BO83,BO82*(((税率・条件!$C$13/12)-BO$95)/BO$94)+BO83),0))</f>
        <v/>
      </c>
      <c r="AK57" s="177" t="str">
        <f>IF(BP83="","",ROUND(IF(BP$96&lt;ROUNDDOWN(税率・条件!$C$13/12,0),BP82+BP83,BP82*(((税率・条件!$C$13/12)-BP$95)/BP$94)+BP83),0))</f>
        <v/>
      </c>
      <c r="AL57" s="183" t="str">
        <f>IF(AC8="","",SUM(Z57:AK57))</f>
        <v/>
      </c>
      <c r="AM57" s="187"/>
      <c r="AN57" s="191"/>
      <c r="AO57" s="186"/>
      <c r="AP57" s="186"/>
      <c r="AQ57" s="191"/>
      <c r="AR57" s="186"/>
      <c r="AS57" s="186"/>
      <c r="AT57" s="191"/>
      <c r="AU57" s="186"/>
      <c r="AV57" s="186"/>
      <c r="AW57" s="191"/>
      <c r="AX57" s="187"/>
      <c r="AY57" s="187"/>
      <c r="AZ57" s="203"/>
      <c r="BA57" s="125"/>
      <c r="BB57" s="207"/>
      <c r="BD57" s="213" t="s">
        <v>76</v>
      </c>
      <c r="BE57" s="222" t="str">
        <f t="shared" ref="BE57:BP57" si="37">IF(AO6="","",ROUND((SUM($T6:$U7)/12),0))</f>
        <v/>
      </c>
      <c r="BF57" s="222" t="str">
        <f t="shared" si="37"/>
        <v/>
      </c>
      <c r="BG57" s="222" t="str">
        <f t="shared" si="37"/>
        <v/>
      </c>
      <c r="BH57" s="222" t="str">
        <f t="shared" si="37"/>
        <v/>
      </c>
      <c r="BI57" s="222" t="str">
        <f t="shared" si="37"/>
        <v/>
      </c>
      <c r="BJ57" s="222" t="str">
        <f t="shared" si="37"/>
        <v/>
      </c>
      <c r="BK57" s="222" t="str">
        <f t="shared" si="37"/>
        <v/>
      </c>
      <c r="BL57" s="222" t="str">
        <f t="shared" si="37"/>
        <v/>
      </c>
      <c r="BM57" s="222" t="str">
        <f t="shared" si="37"/>
        <v/>
      </c>
      <c r="BN57" s="222" t="str">
        <f t="shared" si="37"/>
        <v/>
      </c>
      <c r="BO57" s="222" t="str">
        <f t="shared" si="37"/>
        <v/>
      </c>
      <c r="BP57" s="222" t="str">
        <f t="shared" si="37"/>
        <v/>
      </c>
    </row>
    <row r="58" spans="12:68" ht="18.95" customHeight="1" x14ac:dyDescent="0.15">
      <c r="X58" s="149" t="str">
        <f t="shared" si="34"/>
        <v>４</v>
      </c>
      <c r="Y58" s="155" t="str">
        <f t="shared" si="34"/>
        <v/>
      </c>
      <c r="Z58" s="167" t="str">
        <f>IF(BE85="","",ROUND(IF(BE$96&lt;ROUNDDOWN(税率・条件!$C$13/12,0),BE84+BE85,BE84*(((税率・条件!$C$13/12)-BE$95)/BE$94)+BE85),0))</f>
        <v/>
      </c>
      <c r="AA58" s="174" t="str">
        <f>IF(BF85="","",ROUND(IF(BF$96&lt;ROUNDDOWN(税率・条件!$C$13/12,0),BF84+BF85,BF84*(((税率・条件!$C$13/12)-BF$95)/BF$94)+BF85),0))</f>
        <v/>
      </c>
      <c r="AB58" s="174" t="str">
        <f>IF(BG85="","",ROUND(IF(BG$96&lt;ROUNDDOWN(税率・条件!$C$13/12,0),BG84+BG85,BG84*(((税率・条件!$C$13/12)-BG$95)/BG$94)+BG85),0))</f>
        <v/>
      </c>
      <c r="AC58" s="174" t="str">
        <f>IF(BH85="","",ROUND(IF(BH$96&lt;ROUNDDOWN(税率・条件!$C$13/12,0),BH84+BH85,BH84*(((税率・条件!$C$13/12)-BH$95)/BH$94)+BH85),0))</f>
        <v/>
      </c>
      <c r="AD58" s="174" t="str">
        <f>IF(BI85="","",ROUND(IF(BI$96&lt;ROUNDDOWN(税率・条件!$C$13/12,0),BI84+BI85,BI84*(((税率・条件!$C$13/12)-BI$95)/BI$94)+BI85),0))</f>
        <v/>
      </c>
      <c r="AE58" s="174" t="str">
        <f>IF(BJ85="","",ROUND(IF(BJ$96&lt;ROUNDDOWN(税率・条件!$C$13/12,0),BJ84+BJ85,BJ84*(((税率・条件!$C$13/12)-BJ$95)/BJ$94)+BJ85),0))</f>
        <v/>
      </c>
      <c r="AF58" s="174" t="str">
        <f>IF(BK85="","",ROUND(IF(BK$96&lt;ROUNDDOWN(税率・条件!$C$13/12,0),BK84+BK85,BK84*(((税率・条件!$C$13/12)-BK$95)/BK$94)+BK85),0))</f>
        <v/>
      </c>
      <c r="AG58" s="174" t="str">
        <f>IF(BL85="","",ROUND(IF(BL$96&lt;ROUNDDOWN(税率・条件!$C$13/12,0),BL84+BL85,BL84*(((税率・条件!$C$13/12)-BL$95)/BL$94)+BL85),0))</f>
        <v/>
      </c>
      <c r="AH58" s="174" t="str">
        <f>IF(BM85="","",ROUND(IF(BM$96&lt;ROUNDDOWN(税率・条件!$C$13/12,0),BM84+BM85,BM84*(((税率・条件!$C$13/12)-BM$95)/BM$94)+BM85),0))</f>
        <v/>
      </c>
      <c r="AI58" s="174" t="str">
        <f>IF(BN85="","",ROUND(IF(BN$96&lt;ROUNDDOWN(税率・条件!$C$13/12,0),BN84+BN85,BN84*(((税率・条件!$C$13/12)-BN$95)/BN$94)+BN85),0))</f>
        <v/>
      </c>
      <c r="AJ58" s="174" t="str">
        <f>IF(BO85="","",ROUND(IF(BO$96&lt;ROUNDDOWN(税率・条件!$C$13/12,0),BO84+BO85,BO84*(((税率・条件!$C$13/12)-BO$95)/BO$94)+BO85),0))</f>
        <v/>
      </c>
      <c r="AK58" s="177" t="str">
        <f>IF(BP85="","",ROUND(IF(BP$96&lt;ROUNDDOWN(税率・条件!$C$13/12,0),BP84+BP85,BP84*(((税率・条件!$C$13/12)-BP$95)/BP$94)+BP85),0))</f>
        <v/>
      </c>
      <c r="AL58" s="183" t="str">
        <f>IF(AC10="","",SUM(Z58:AK58))</f>
        <v/>
      </c>
      <c r="AM58" s="187"/>
      <c r="AN58" s="191"/>
      <c r="AO58" s="186"/>
      <c r="AP58" s="186"/>
      <c r="AQ58" s="191"/>
      <c r="AR58" s="186"/>
      <c r="AS58" s="186"/>
      <c r="AT58" s="191"/>
      <c r="AU58" s="186"/>
      <c r="AV58" s="186"/>
      <c r="AW58" s="191"/>
      <c r="AX58" s="187"/>
      <c r="AY58" s="187"/>
      <c r="AZ58" s="203"/>
      <c r="BA58" s="125"/>
      <c r="BB58" s="207"/>
      <c r="BD58" s="214" t="s">
        <v>155</v>
      </c>
      <c r="BE58" s="223" t="str">
        <f t="shared" ref="BE58:BP58" si="38">IF(AO6="","",ROUND(SUM($V6:$W7)/12,0))</f>
        <v/>
      </c>
      <c r="BF58" s="223" t="str">
        <f t="shared" si="38"/>
        <v/>
      </c>
      <c r="BG58" s="223" t="str">
        <f t="shared" si="38"/>
        <v/>
      </c>
      <c r="BH58" s="223" t="str">
        <f t="shared" si="38"/>
        <v/>
      </c>
      <c r="BI58" s="223" t="str">
        <f t="shared" si="38"/>
        <v/>
      </c>
      <c r="BJ58" s="223" t="str">
        <f t="shared" si="38"/>
        <v/>
      </c>
      <c r="BK58" s="223" t="str">
        <f t="shared" si="38"/>
        <v/>
      </c>
      <c r="BL58" s="223" t="str">
        <f t="shared" si="38"/>
        <v/>
      </c>
      <c r="BM58" s="223" t="str">
        <f t="shared" si="38"/>
        <v/>
      </c>
      <c r="BN58" s="223" t="str">
        <f t="shared" si="38"/>
        <v/>
      </c>
      <c r="BO58" s="223" t="str">
        <f t="shared" si="38"/>
        <v/>
      </c>
      <c r="BP58" s="223" t="str">
        <f t="shared" si="38"/>
        <v/>
      </c>
    </row>
    <row r="59" spans="12:68" ht="18.95" customHeight="1" x14ac:dyDescent="0.15">
      <c r="X59" s="149" t="str">
        <f t="shared" si="34"/>
        <v>５</v>
      </c>
      <c r="Y59" s="155" t="str">
        <f t="shared" si="34"/>
        <v/>
      </c>
      <c r="Z59" s="167" t="str">
        <f>IF(BE87="","",ROUND(IF(BE$96&lt;ROUNDDOWN(税率・条件!$C$13/12,0),BE86+BE87,BE86*(((税率・条件!$C$13/12)-BE$95)/BE$94)+BE87),0))</f>
        <v/>
      </c>
      <c r="AA59" s="174" t="str">
        <f>IF(BF87="","",ROUND(IF(BF$96&lt;ROUNDDOWN(税率・条件!$C$13/12,0),BF86+BF87,BF86*(((税率・条件!$C$13/12)-BF$95)/BF$94)+BF87),0))</f>
        <v/>
      </c>
      <c r="AB59" s="174" t="str">
        <f>IF(BG87="","",ROUND(IF(BG$96&lt;ROUNDDOWN(税率・条件!$C$13/12,0),BG86+BG87,BG86*(((税率・条件!$C$13/12)-BG$95)/BG$94)+BG87),0))</f>
        <v/>
      </c>
      <c r="AC59" s="174" t="str">
        <f>IF(BH87="","",ROUND(IF(BH$96&lt;ROUNDDOWN(税率・条件!$C$13/12,0),BH86+BH87,BH86*(((税率・条件!$C$13/12)-BH$95)/BH$94)+BH87),0))</f>
        <v/>
      </c>
      <c r="AD59" s="174" t="str">
        <f>IF(BI87="","",ROUND(IF(BI$96&lt;ROUNDDOWN(税率・条件!$C$13/12,0),BI86+BI87,BI86*(((税率・条件!$C$13/12)-BI$95)/BI$94)+BI87),0))</f>
        <v/>
      </c>
      <c r="AE59" s="174" t="str">
        <f>IF(BJ87="","",ROUND(IF(BJ$96&lt;ROUNDDOWN(税率・条件!$C$13/12,0),BJ86+BJ87,BJ86*(((税率・条件!$C$13/12)-BJ$95)/BJ$94)+BJ87),0))</f>
        <v/>
      </c>
      <c r="AF59" s="174" t="str">
        <f>IF(BK87="","",ROUND(IF(BK$96&lt;ROUNDDOWN(税率・条件!$C$13/12,0),BK86+BK87,BK86*(((税率・条件!$C$13/12)-BK$95)/BK$94)+BK87),0))</f>
        <v/>
      </c>
      <c r="AG59" s="174" t="str">
        <f>IF(BL87="","",ROUND(IF(BL$96&lt;ROUNDDOWN(税率・条件!$C$13/12,0),BL86+BL87,BL86*(((税率・条件!$C$13/12)-BL$95)/BL$94)+BL87),0))</f>
        <v/>
      </c>
      <c r="AH59" s="174" t="str">
        <f>IF(BM87="","",ROUND(IF(BM$96&lt;ROUNDDOWN(税率・条件!$C$13/12,0),BM86+BM87,BM86*(((税率・条件!$C$13/12)-BM$95)/BM$94)+BM87),0))</f>
        <v/>
      </c>
      <c r="AI59" s="174" t="str">
        <f>IF(BN87="","",ROUND(IF(BN$96&lt;ROUNDDOWN(税率・条件!$C$13/12,0),BN86+BN87,BN86*(((税率・条件!$C$13/12)-BN$95)/BN$94)+BN87),0))</f>
        <v/>
      </c>
      <c r="AJ59" s="174" t="str">
        <f>IF(BO87="","",ROUND(IF(BO$96&lt;ROUNDDOWN(税率・条件!$C$13/12,0),BO86+BO87,BO86*(((税率・条件!$C$13/12)-BO$95)/BO$94)+BO87),0))</f>
        <v/>
      </c>
      <c r="AK59" s="177" t="str">
        <f>IF(BP87="","",ROUND(IF(BP$96&lt;ROUNDDOWN(税率・条件!$C$13/12,0),BP86+BP87,BP86*(((税率・条件!$C$13/12)-BP$95)/BP$94)+BP87),0))</f>
        <v/>
      </c>
      <c r="AL59" s="183" t="str">
        <f>IF(AC12="","",SUM(Z59:AK59))</f>
        <v/>
      </c>
      <c r="AM59" s="187"/>
      <c r="AN59" s="191"/>
      <c r="AO59" s="186"/>
      <c r="AP59" s="186"/>
      <c r="AQ59" s="191"/>
      <c r="AR59" s="186"/>
      <c r="AS59" s="186"/>
      <c r="AT59" s="191"/>
      <c r="AU59" s="186"/>
      <c r="AV59" s="186"/>
      <c r="AW59" s="191"/>
      <c r="AX59" s="187"/>
      <c r="AY59" s="187"/>
      <c r="AZ59" s="203"/>
      <c r="BA59" s="125"/>
      <c r="BB59" s="207"/>
      <c r="BD59" s="213" t="s">
        <v>157</v>
      </c>
      <c r="BE59" s="222" t="str">
        <f t="shared" ref="BE59:BP59" si="39">IF(AO8="","",ROUND((SUM($T8:$U9)/12),0))</f>
        <v/>
      </c>
      <c r="BF59" s="222" t="str">
        <f t="shared" si="39"/>
        <v/>
      </c>
      <c r="BG59" s="222" t="str">
        <f t="shared" si="39"/>
        <v/>
      </c>
      <c r="BH59" s="222" t="str">
        <f t="shared" si="39"/>
        <v/>
      </c>
      <c r="BI59" s="222" t="str">
        <f t="shared" si="39"/>
        <v/>
      </c>
      <c r="BJ59" s="222" t="str">
        <f t="shared" si="39"/>
        <v/>
      </c>
      <c r="BK59" s="222" t="str">
        <f t="shared" si="39"/>
        <v/>
      </c>
      <c r="BL59" s="222" t="str">
        <f t="shared" si="39"/>
        <v/>
      </c>
      <c r="BM59" s="222" t="str">
        <f t="shared" si="39"/>
        <v/>
      </c>
      <c r="BN59" s="222" t="str">
        <f t="shared" si="39"/>
        <v/>
      </c>
      <c r="BO59" s="222" t="str">
        <f t="shared" si="39"/>
        <v/>
      </c>
      <c r="BP59" s="222" t="str">
        <f t="shared" si="39"/>
        <v/>
      </c>
    </row>
    <row r="60" spans="12:68" ht="18.95" customHeight="1" x14ac:dyDescent="0.15">
      <c r="L60" s="359" t="str">
        <f>IF(入力!C25="軽減なし","","平等割は"&amp;入力!C25&amp;"で計算してます。")</f>
        <v/>
      </c>
      <c r="M60" s="360"/>
      <c r="N60" s="360"/>
      <c r="O60" s="360"/>
      <c r="P60" s="360"/>
      <c r="Q60" s="360"/>
      <c r="R60" s="360"/>
      <c r="S60" s="360"/>
      <c r="T60" s="360"/>
      <c r="X60" s="149" t="str">
        <f t="shared" si="34"/>
        <v>６</v>
      </c>
      <c r="Y60" s="155" t="str">
        <f t="shared" si="34"/>
        <v/>
      </c>
      <c r="Z60" s="167" t="str">
        <f>IF(BE89="","",ROUND(IF(BE$96&lt;ROUNDDOWN(税率・条件!$C$13/12,0),BE88+BE89,BE88*(((税率・条件!$C$13/12)-BE$95)/BE$94)+BE89),0))</f>
        <v/>
      </c>
      <c r="AA60" s="174" t="str">
        <f>IF(BF89="","",ROUND(IF(BF$96&lt;ROUNDDOWN(税率・条件!$C$13/12,0),BF88+BF89,BF88*(((税率・条件!$C$13/12)-BF$95)/BF$94)+BF89),0))</f>
        <v/>
      </c>
      <c r="AB60" s="174" t="str">
        <f>IF(BG89="","",ROUND(IF(BG$96&lt;ROUNDDOWN(税率・条件!$C$13/12,0),BG88+BG89,BG88*(((税率・条件!$C$13/12)-BG$95)/BG$94)+BG89),0))</f>
        <v/>
      </c>
      <c r="AC60" s="174" t="str">
        <f>IF(BH89="","",ROUND(IF(BH$96&lt;ROUNDDOWN(税率・条件!$C$13/12,0),BH88+BH89,BH88*(((税率・条件!$C$13/12)-BH$95)/BH$94)+BH89),0))</f>
        <v/>
      </c>
      <c r="AD60" s="174" t="str">
        <f>IF(BI89="","",ROUND(IF(BI$96&lt;ROUNDDOWN(税率・条件!$C$13/12,0),BI88+BI89,BI88*(((税率・条件!$C$13/12)-BI$95)/BI$94)+BI89),0))</f>
        <v/>
      </c>
      <c r="AE60" s="174" t="str">
        <f>IF(BJ89="","",ROUND(IF(BJ$96&lt;ROUNDDOWN(税率・条件!$C$13/12,0),BJ88+BJ89,BJ88*(((税率・条件!$C$13/12)-BJ$95)/BJ$94)+BJ89),0))</f>
        <v/>
      </c>
      <c r="AF60" s="174" t="str">
        <f>IF(BK89="","",ROUND(IF(BK$96&lt;ROUNDDOWN(税率・条件!$C$13/12,0),BK88+BK89,BK88*(((税率・条件!$C$13/12)-BK$95)/BK$94)+BK89),0))</f>
        <v/>
      </c>
      <c r="AG60" s="174" t="str">
        <f>IF(BL89="","",ROUND(IF(BL$96&lt;ROUNDDOWN(税率・条件!$C$13/12,0),BL88+BL89,BL88*(((税率・条件!$C$13/12)-BL$95)/BL$94)+BL89),0))</f>
        <v/>
      </c>
      <c r="AH60" s="174" t="str">
        <f>IF(BM89="","",ROUND(IF(BM$96&lt;ROUNDDOWN(税率・条件!$C$13/12,0),BM88+BM89,BM88*(((税率・条件!$C$13/12)-BM$95)/BM$94)+BM89),0))</f>
        <v/>
      </c>
      <c r="AI60" s="174" t="str">
        <f>IF(BN89="","",ROUND(IF(BN$96&lt;ROUNDDOWN(税率・条件!$C$13/12,0),BN88+BN89,BN88*(((税率・条件!$C$13/12)-BN$95)/BN$94)+BN89),0))</f>
        <v/>
      </c>
      <c r="AJ60" s="174" t="str">
        <f>IF(BO89="","",ROUND(IF(BO$96&lt;ROUNDDOWN(税率・条件!$C$13/12,0),BO88+BO89,BO88*(((税率・条件!$C$13/12)-BO$95)/BO$94)+BO89),0))</f>
        <v/>
      </c>
      <c r="AK60" s="177" t="str">
        <f>IF(BP89="","",ROUND(IF(BP$96&lt;ROUNDDOWN(税率・条件!$C$13/12,0),BP88+BP89,BP88*(((税率・条件!$C$13/12)-BP$95)/BP$94)+BP89),0))</f>
        <v/>
      </c>
      <c r="AL60" s="183" t="str">
        <f>IF(AC14="","",SUM(Z60:AK60))</f>
        <v/>
      </c>
      <c r="AM60" s="187"/>
      <c r="AN60" s="191"/>
      <c r="AO60" s="186"/>
      <c r="AP60" s="186"/>
      <c r="AQ60" s="191"/>
      <c r="AR60" s="186"/>
      <c r="AS60" s="186"/>
      <c r="AT60" s="191"/>
      <c r="AU60" s="186"/>
      <c r="AV60" s="186"/>
      <c r="AW60" s="191"/>
      <c r="AX60" s="187"/>
      <c r="AY60" s="187"/>
      <c r="AZ60" s="203"/>
      <c r="BA60" s="125"/>
      <c r="BB60" s="207"/>
      <c r="BD60" s="214" t="s">
        <v>158</v>
      </c>
      <c r="BE60" s="223" t="str">
        <f t="shared" ref="BE60:BP60" si="40">IF(AO8="","",ROUND(SUM($V8:$W9)/12,0))</f>
        <v/>
      </c>
      <c r="BF60" s="223" t="str">
        <f t="shared" si="40"/>
        <v/>
      </c>
      <c r="BG60" s="223" t="str">
        <f t="shared" si="40"/>
        <v/>
      </c>
      <c r="BH60" s="223" t="str">
        <f t="shared" si="40"/>
        <v/>
      </c>
      <c r="BI60" s="223" t="str">
        <f t="shared" si="40"/>
        <v/>
      </c>
      <c r="BJ60" s="223" t="str">
        <f t="shared" si="40"/>
        <v/>
      </c>
      <c r="BK60" s="223" t="str">
        <f t="shared" si="40"/>
        <v/>
      </c>
      <c r="BL60" s="223" t="str">
        <f t="shared" si="40"/>
        <v/>
      </c>
      <c r="BM60" s="223" t="str">
        <f t="shared" si="40"/>
        <v/>
      </c>
      <c r="BN60" s="223" t="str">
        <f t="shared" si="40"/>
        <v/>
      </c>
      <c r="BO60" s="223" t="str">
        <f t="shared" si="40"/>
        <v/>
      </c>
      <c r="BP60" s="223" t="str">
        <f t="shared" si="40"/>
        <v/>
      </c>
    </row>
    <row r="61" spans="12:68" ht="18.95" customHeight="1" x14ac:dyDescent="0.15">
      <c r="L61" s="360"/>
      <c r="M61" s="360"/>
      <c r="N61" s="360"/>
      <c r="O61" s="360"/>
      <c r="P61" s="360"/>
      <c r="Q61" s="360"/>
      <c r="R61" s="360"/>
      <c r="S61" s="360"/>
      <c r="T61" s="360"/>
      <c r="X61" s="149" t="str">
        <f t="shared" si="34"/>
        <v>７</v>
      </c>
      <c r="Y61" s="155" t="str">
        <f t="shared" si="34"/>
        <v/>
      </c>
      <c r="Z61" s="167" t="str">
        <f>IF(BE91="","",ROUND(IF(BE$96&lt;ROUNDDOWN(税率・条件!$C$13/12,0),BE90+BE91,BE90*(((税率・条件!$C$13/12)-BE$95)/BE$94)+BE91),0))</f>
        <v/>
      </c>
      <c r="AA61" s="174" t="str">
        <f>IF(BF91="","",ROUND(IF(BF$96&lt;ROUNDDOWN(税率・条件!$C$13/12,0),BF90+BF91,BF90*(((税率・条件!$C$13/12)-BF$95)/BF$94)+BF91),0))</f>
        <v/>
      </c>
      <c r="AB61" s="174" t="str">
        <f>IF(BG91="","",ROUND(IF(BG$96&lt;ROUNDDOWN(税率・条件!$C$13/12,0),BG90+BG91,BG90*(((税率・条件!$C$13/12)-BG$95)/BG$94)+BG91),0))</f>
        <v/>
      </c>
      <c r="AC61" s="174" t="str">
        <f>IF(BH91="","",ROUND(IF(BH$96&lt;ROUNDDOWN(税率・条件!$C$13/12,0),BH90+BH91,BH90*(((税率・条件!$C$13/12)-BH$95)/BH$94)+BH91),0))</f>
        <v/>
      </c>
      <c r="AD61" s="174" t="str">
        <f>IF(BI91="","",ROUND(IF(BI$96&lt;ROUNDDOWN(税率・条件!$C$13/12,0),BI90+BI91,BI90*(((税率・条件!$C$13/12)-BI$95)/BI$94)+BI91),0))</f>
        <v/>
      </c>
      <c r="AE61" s="174" t="str">
        <f>IF(BJ91="","",ROUND(IF(BJ$96&lt;ROUNDDOWN(税率・条件!$C$13/12,0),BJ90+BJ91,BJ90*(((税率・条件!$C$13/12)-BJ$95)/BJ$94)+BJ91),0))</f>
        <v/>
      </c>
      <c r="AF61" s="174" t="str">
        <f>IF(BK91="","",ROUND(IF(BK$96&lt;ROUNDDOWN(税率・条件!$C$13/12,0),BK90+BK91,BK90*(((税率・条件!$C$13/12)-BK$95)/BK$94)+BK91),0))</f>
        <v/>
      </c>
      <c r="AG61" s="174" t="str">
        <f>IF(BL91="","",ROUND(IF(BL$96&lt;ROUNDDOWN(税率・条件!$C$13/12,0),BL90+BL91,BL90*(((税率・条件!$C$13/12)-BL$95)/BL$94)+BL91),0))</f>
        <v/>
      </c>
      <c r="AH61" s="174" t="str">
        <f>IF(BM91="","",ROUND(IF(BM$96&lt;ROUNDDOWN(税率・条件!$C$13/12,0),BM90+BM91,BM90*(((税率・条件!$C$13/12)-BM$95)/BM$94)+BM91),0))</f>
        <v/>
      </c>
      <c r="AI61" s="174" t="str">
        <f>IF(BN91="","",ROUND(IF(BN$96&lt;ROUNDDOWN(税率・条件!$C$13/12,0),BN90+BN91,BN90*(((税率・条件!$C$13/12)-BN$95)/BN$94)+BN91),0))</f>
        <v/>
      </c>
      <c r="AJ61" s="174" t="str">
        <f>IF(BO91="","",ROUND(IF(BO$96&lt;ROUNDDOWN(税率・条件!$C$13/12,0),BO90+BO91,BO90*(((税率・条件!$C$13/12)-BO$95)/BO$94)+BO91),0))</f>
        <v/>
      </c>
      <c r="AK61" s="177" t="str">
        <f>IF(BP91="","",ROUND(IF(BP$96&lt;ROUNDDOWN(税率・条件!$C$13/12,0),BP90+BP91,BP90*(((税率・条件!$C$13/12)-BP$95)/BP$94)+BP91),0))</f>
        <v/>
      </c>
      <c r="AL61" s="183" t="str">
        <f>IF(AC16="","",SUM(Z61:AK61))</f>
        <v/>
      </c>
      <c r="AM61" s="187"/>
      <c r="AN61" s="191"/>
      <c r="AO61" s="186"/>
      <c r="AP61" s="186"/>
      <c r="AQ61" s="191"/>
      <c r="AR61" s="186"/>
      <c r="AS61" s="186"/>
      <c r="AT61" s="191"/>
      <c r="AU61" s="186"/>
      <c r="AV61" s="186"/>
      <c r="AW61" s="191"/>
      <c r="AX61" s="187"/>
      <c r="AY61" s="187"/>
      <c r="AZ61" s="203"/>
      <c r="BA61" s="125"/>
      <c r="BB61" s="207"/>
      <c r="BD61" s="213" t="s">
        <v>159</v>
      </c>
      <c r="BE61" s="222" t="str">
        <f t="shared" ref="BE61:BP61" si="41">IF(AO10="","",ROUND((SUM($T10:$U11)/12),0))</f>
        <v/>
      </c>
      <c r="BF61" s="222" t="str">
        <f t="shared" si="41"/>
        <v/>
      </c>
      <c r="BG61" s="222" t="str">
        <f t="shared" si="41"/>
        <v/>
      </c>
      <c r="BH61" s="222" t="str">
        <f t="shared" si="41"/>
        <v/>
      </c>
      <c r="BI61" s="222" t="str">
        <f t="shared" si="41"/>
        <v/>
      </c>
      <c r="BJ61" s="222" t="str">
        <f t="shared" si="41"/>
        <v/>
      </c>
      <c r="BK61" s="222" t="str">
        <f t="shared" si="41"/>
        <v/>
      </c>
      <c r="BL61" s="222" t="str">
        <f t="shared" si="41"/>
        <v/>
      </c>
      <c r="BM61" s="222" t="str">
        <f t="shared" si="41"/>
        <v/>
      </c>
      <c r="BN61" s="222" t="str">
        <f t="shared" si="41"/>
        <v/>
      </c>
      <c r="BO61" s="222" t="str">
        <f t="shared" si="41"/>
        <v/>
      </c>
      <c r="BP61" s="222" t="str">
        <f t="shared" si="41"/>
        <v/>
      </c>
    </row>
    <row r="62" spans="12:68" ht="18.95" customHeight="1" x14ac:dyDescent="0.15">
      <c r="L62" s="360"/>
      <c r="M62" s="360"/>
      <c r="N62" s="360"/>
      <c r="O62" s="360"/>
      <c r="P62" s="360"/>
      <c r="Q62" s="360"/>
      <c r="R62" s="360"/>
      <c r="S62" s="360"/>
      <c r="T62" s="360"/>
      <c r="X62" s="153" t="str">
        <f t="shared" si="34"/>
        <v>８</v>
      </c>
      <c r="Y62" s="161" t="str">
        <f t="shared" si="34"/>
        <v/>
      </c>
      <c r="Z62" s="167" t="str">
        <f>IF(BE93="","",ROUND(IF(BE$96&lt;ROUNDDOWN(税率・条件!$C$13/12,0),BE92+BE93,BE92*(((税率・条件!$C$13/12)-BE$95)/BE$94)+BE93),0))</f>
        <v/>
      </c>
      <c r="AA62" s="174" t="str">
        <f>IF(BF93="","",ROUND(IF(BF$96&lt;ROUNDDOWN(税率・条件!$C$13/12,0),BF92+BF93,BF92*(((税率・条件!$C$13/12)-BF$95)/BF$94)+BF93),0))</f>
        <v/>
      </c>
      <c r="AB62" s="174" t="str">
        <f>IF(BG93="","",ROUND(IF(BG$96&lt;ROUNDDOWN(税率・条件!$C$13/12,0),BG92+BG93,BG92*(((税率・条件!$C$13/12)-BG$95)/BG$94)+BG93),0))</f>
        <v/>
      </c>
      <c r="AC62" s="174" t="str">
        <f>IF(BH93="","",ROUND(IF(BH$96&lt;ROUNDDOWN(税率・条件!$C$13/12,0),BH92+BH93,BH92*(((税率・条件!$C$13/12)-BH$95)/BH$94)+BH93),0))</f>
        <v/>
      </c>
      <c r="AD62" s="174" t="str">
        <f>IF(BI93="","",ROUND(IF(BI$96&lt;ROUNDDOWN(税率・条件!$C$13/12,0),BI92+BI93,BI92*(((税率・条件!$C$13/12)-BI$95)/BI$94)+BI93),0))</f>
        <v/>
      </c>
      <c r="AE62" s="174" t="str">
        <f>IF(BJ93="","",ROUND(IF(BJ$96&lt;ROUNDDOWN(税率・条件!$C$13/12,0),BJ92+BJ93,BJ92*(((税率・条件!$C$13/12)-BJ$95)/BJ$94)+BJ93),0))</f>
        <v/>
      </c>
      <c r="AF62" s="174" t="str">
        <f>IF(BK93="","",ROUND(IF(BK$96&lt;ROUNDDOWN(税率・条件!$C$13/12,0),BK92+BK93,BK92*(((税率・条件!$C$13/12)-BK$95)/BK$94)+BK93),0))</f>
        <v/>
      </c>
      <c r="AG62" s="174" t="str">
        <f>IF(BL93="","",ROUND(IF(BL$96&lt;ROUNDDOWN(税率・条件!$C$13/12,0),BL92+BL93,BL92*(((税率・条件!$C$13/12)-BL$95)/BL$94)+BL93),0))</f>
        <v/>
      </c>
      <c r="AH62" s="174" t="str">
        <f>IF(BM93="","",ROUND(IF(BM$96&lt;ROUNDDOWN(税率・条件!$C$13/12,0),BM92+BM93,BM92*(((税率・条件!$C$13/12)-BM$95)/BM$94)+BM93),0))</f>
        <v/>
      </c>
      <c r="AI62" s="174" t="str">
        <f>IF(BN93="","",ROUND(IF(BN$96&lt;ROUNDDOWN(税率・条件!$C$13/12,0),BN92+BN93,BN92*(((税率・条件!$C$13/12)-BN$95)/BN$94)+BN93),0))</f>
        <v/>
      </c>
      <c r="AJ62" s="174" t="str">
        <f>IF(BO93="","",ROUND(IF(BO$96&lt;ROUNDDOWN(税率・条件!$C$13/12,0),BO92+BO93,BO92*(((税率・条件!$C$13/12)-BO$95)/BO$94)+BO93),0))</f>
        <v/>
      </c>
      <c r="AK62" s="177" t="str">
        <f>IF(BP93="","",ROUND(IF(BP$96&lt;ROUNDDOWN(税率・条件!$C$13/12,0),BP92+BP93,BP92*(((税率・条件!$C$13/12)-BP$95)/BP$94)+BP93),0))</f>
        <v/>
      </c>
      <c r="AL62" s="183" t="str">
        <f>IF(AC18="","",SUM(Z62:AK62))</f>
        <v/>
      </c>
      <c r="AM62" s="187"/>
      <c r="AN62" s="191"/>
      <c r="AO62" s="186"/>
      <c r="AP62" s="186"/>
      <c r="AQ62" s="191"/>
      <c r="AR62" s="186"/>
      <c r="AS62" s="186"/>
      <c r="AT62" s="191"/>
      <c r="AU62" s="186"/>
      <c r="AV62" s="186"/>
      <c r="AW62" s="191"/>
      <c r="AX62" s="187"/>
      <c r="AY62" s="187"/>
      <c r="AZ62" s="203"/>
      <c r="BA62" s="125"/>
      <c r="BB62" s="207"/>
      <c r="BD62" s="214" t="s">
        <v>65</v>
      </c>
      <c r="BE62" s="223" t="str">
        <f t="shared" ref="BE62:BP62" si="42">IF(AO10="","",ROUND(SUM($V10:$W11)/12,0))</f>
        <v/>
      </c>
      <c r="BF62" s="223" t="str">
        <f t="shared" si="42"/>
        <v/>
      </c>
      <c r="BG62" s="223" t="str">
        <f t="shared" si="42"/>
        <v/>
      </c>
      <c r="BH62" s="223" t="str">
        <f t="shared" si="42"/>
        <v/>
      </c>
      <c r="BI62" s="223" t="str">
        <f t="shared" si="42"/>
        <v/>
      </c>
      <c r="BJ62" s="223" t="str">
        <f t="shared" si="42"/>
        <v/>
      </c>
      <c r="BK62" s="223" t="str">
        <f t="shared" si="42"/>
        <v/>
      </c>
      <c r="BL62" s="223" t="str">
        <f t="shared" si="42"/>
        <v/>
      </c>
      <c r="BM62" s="223" t="str">
        <f t="shared" si="42"/>
        <v/>
      </c>
      <c r="BN62" s="223" t="str">
        <f t="shared" si="42"/>
        <v/>
      </c>
      <c r="BO62" s="223" t="str">
        <f t="shared" si="42"/>
        <v/>
      </c>
      <c r="BP62" s="223" t="str">
        <f t="shared" si="42"/>
        <v/>
      </c>
    </row>
    <row r="63" spans="12:68" ht="18.95" customHeight="1" x14ac:dyDescent="0.15">
      <c r="L63" s="360"/>
      <c r="M63" s="360"/>
      <c r="N63" s="360"/>
      <c r="O63" s="360"/>
      <c r="P63" s="360"/>
      <c r="Q63" s="360"/>
      <c r="R63" s="360"/>
      <c r="S63" s="360"/>
      <c r="T63" s="360"/>
      <c r="X63" s="343" t="s">
        <v>145</v>
      </c>
      <c r="Y63" s="344"/>
      <c r="Z63" s="168">
        <f t="shared" ref="Z63:AL63" si="43">SUM(Z55:Z62)</f>
        <v>0</v>
      </c>
      <c r="AA63" s="175">
        <f t="shared" si="43"/>
        <v>0</v>
      </c>
      <c r="AB63" s="175">
        <f t="shared" si="43"/>
        <v>0</v>
      </c>
      <c r="AC63" s="175">
        <f t="shared" si="43"/>
        <v>0</v>
      </c>
      <c r="AD63" s="175">
        <f t="shared" si="43"/>
        <v>0</v>
      </c>
      <c r="AE63" s="175">
        <f t="shared" si="43"/>
        <v>0</v>
      </c>
      <c r="AF63" s="175">
        <f t="shared" si="43"/>
        <v>0</v>
      </c>
      <c r="AG63" s="175">
        <f t="shared" si="43"/>
        <v>0</v>
      </c>
      <c r="AH63" s="175">
        <f t="shared" si="43"/>
        <v>0</v>
      </c>
      <c r="AI63" s="178">
        <f t="shared" si="43"/>
        <v>0</v>
      </c>
      <c r="AJ63" s="178">
        <f t="shared" si="43"/>
        <v>0</v>
      </c>
      <c r="AK63" s="181">
        <f t="shared" si="43"/>
        <v>0</v>
      </c>
      <c r="AL63" s="184">
        <f t="shared" si="43"/>
        <v>0</v>
      </c>
      <c r="AM63" s="187"/>
      <c r="AN63" s="191"/>
      <c r="AO63" s="187"/>
      <c r="AP63" s="187"/>
      <c r="AQ63" s="191"/>
      <c r="AR63" s="187"/>
      <c r="AS63" s="187"/>
      <c r="AT63" s="191"/>
      <c r="AU63" s="187"/>
      <c r="AV63" s="187"/>
      <c r="AW63" s="191"/>
      <c r="AX63" s="187"/>
      <c r="AY63" s="187"/>
      <c r="AZ63" s="203"/>
      <c r="BA63" s="125"/>
      <c r="BB63" s="121"/>
      <c r="BD63" s="213" t="s">
        <v>161</v>
      </c>
      <c r="BE63" s="222" t="str">
        <f t="shared" ref="BE63:BP63" si="44">IF(AO12="","",ROUND((SUM($T12:$U13)/12),0))</f>
        <v/>
      </c>
      <c r="BF63" s="222" t="str">
        <f t="shared" si="44"/>
        <v/>
      </c>
      <c r="BG63" s="222" t="str">
        <f t="shared" si="44"/>
        <v/>
      </c>
      <c r="BH63" s="222" t="str">
        <f t="shared" si="44"/>
        <v/>
      </c>
      <c r="BI63" s="222" t="str">
        <f t="shared" si="44"/>
        <v/>
      </c>
      <c r="BJ63" s="222" t="str">
        <f t="shared" si="44"/>
        <v/>
      </c>
      <c r="BK63" s="222" t="str">
        <f t="shared" si="44"/>
        <v/>
      </c>
      <c r="BL63" s="222" t="str">
        <f t="shared" si="44"/>
        <v/>
      </c>
      <c r="BM63" s="222" t="str">
        <f t="shared" si="44"/>
        <v/>
      </c>
      <c r="BN63" s="222" t="str">
        <f t="shared" si="44"/>
        <v/>
      </c>
      <c r="BO63" s="222" t="str">
        <f t="shared" si="44"/>
        <v/>
      </c>
      <c r="BP63" s="222" t="str">
        <f t="shared" si="44"/>
        <v/>
      </c>
    </row>
    <row r="64" spans="12:68" ht="18.95" customHeight="1" x14ac:dyDescent="0.15">
      <c r="Y64" s="160" t="s">
        <v>170</v>
      </c>
      <c r="Z64" s="169" t="str">
        <f>IF(BE$96&lt;ROUNDDOWN(税率・条件!$C$13/12,0),"","該当")</f>
        <v/>
      </c>
      <c r="AA64" s="169" t="str">
        <f>IF(BF$96&lt;ROUNDDOWN(税率・条件!$C$13/12,0),"","該当")</f>
        <v/>
      </c>
      <c r="AB64" s="169" t="str">
        <f>IF(BG$96&lt;ROUNDDOWN(税率・条件!$C$13/12,0),"","該当")</f>
        <v/>
      </c>
      <c r="AC64" s="169" t="str">
        <f>IF(BH$96&lt;ROUNDDOWN(税率・条件!$C$13/12,0),"","該当")</f>
        <v/>
      </c>
      <c r="AD64" s="169" t="str">
        <f>IF(BI$96&lt;ROUNDDOWN(税率・条件!$C$13/12,0),"","該当")</f>
        <v/>
      </c>
      <c r="AE64" s="169" t="str">
        <f>IF(BJ$96&lt;ROUNDDOWN(税率・条件!$C$13/12,0),"","該当")</f>
        <v/>
      </c>
      <c r="AF64" s="169" t="str">
        <f>IF(BK$96&lt;ROUNDDOWN(税率・条件!$C$13/12,0),"","該当")</f>
        <v/>
      </c>
      <c r="AG64" s="169" t="str">
        <f>IF(BL$96&lt;ROUNDDOWN(税率・条件!$C$13/12,0),"","該当")</f>
        <v/>
      </c>
      <c r="AH64" s="169" t="str">
        <f>IF(BM$96&lt;ROUNDDOWN(税率・条件!$C$13/12,0),"","該当")</f>
        <v/>
      </c>
      <c r="AI64" s="179" t="str">
        <f>IF(BN$96&lt;ROUNDDOWN(税率・条件!$C$13/12,0),"","該当")</f>
        <v/>
      </c>
      <c r="AJ64" s="179" t="str">
        <f>IF(BO$96&lt;ROUNDDOWN(税率・条件!$C$13/12,0),"","該当")</f>
        <v/>
      </c>
      <c r="AK64" s="179" t="str">
        <f>IF(BP$96&lt;ROUNDDOWN(税率・条件!$C$13/12,0),"","該当")</f>
        <v/>
      </c>
      <c r="AL64" s="169"/>
      <c r="AM64" s="169"/>
      <c r="AO64" s="197"/>
      <c r="AP64" s="197"/>
      <c r="AR64" s="197"/>
      <c r="AS64" s="197"/>
      <c r="AU64" s="197"/>
      <c r="AV64" s="197"/>
      <c r="AZ64" s="121"/>
      <c r="BA64" s="121"/>
      <c r="BB64" s="121"/>
      <c r="BD64" s="214" t="s">
        <v>162</v>
      </c>
      <c r="BE64" s="223" t="str">
        <f t="shared" ref="BE64:BP64" si="45">IF(AO12="","",ROUND(SUM($V12:$W13)/12,0))</f>
        <v/>
      </c>
      <c r="BF64" s="223" t="str">
        <f t="shared" si="45"/>
        <v/>
      </c>
      <c r="BG64" s="223" t="str">
        <f t="shared" si="45"/>
        <v/>
      </c>
      <c r="BH64" s="223" t="str">
        <f t="shared" si="45"/>
        <v/>
      </c>
      <c r="BI64" s="223" t="str">
        <f t="shared" si="45"/>
        <v/>
      </c>
      <c r="BJ64" s="223" t="str">
        <f t="shared" si="45"/>
        <v/>
      </c>
      <c r="BK64" s="223" t="str">
        <f t="shared" si="45"/>
        <v/>
      </c>
      <c r="BL64" s="223" t="str">
        <f t="shared" si="45"/>
        <v/>
      </c>
      <c r="BM64" s="223" t="str">
        <f t="shared" si="45"/>
        <v/>
      </c>
      <c r="BN64" s="223" t="str">
        <f t="shared" si="45"/>
        <v/>
      </c>
      <c r="BO64" s="223" t="str">
        <f t="shared" si="45"/>
        <v/>
      </c>
      <c r="BP64" s="223" t="str">
        <f t="shared" si="45"/>
        <v/>
      </c>
    </row>
    <row r="65" spans="24:68" ht="18.95" customHeight="1" x14ac:dyDescent="0.15">
      <c r="Y65" s="160"/>
      <c r="Z65" s="169"/>
      <c r="AA65" s="169"/>
      <c r="AB65" s="169"/>
      <c r="AC65" s="169"/>
      <c r="AD65" s="169"/>
      <c r="AE65" s="169"/>
      <c r="AF65" s="169"/>
      <c r="AG65" s="169"/>
      <c r="AH65" s="169"/>
      <c r="AI65" s="179"/>
      <c r="AJ65" s="179"/>
      <c r="AK65" s="179"/>
      <c r="AL65" s="169"/>
      <c r="AZ65" s="121"/>
      <c r="BA65" s="121"/>
      <c r="BB65" s="121"/>
      <c r="BD65" s="213" t="s">
        <v>62</v>
      </c>
      <c r="BE65" s="222" t="str">
        <f t="shared" ref="BE65:BP65" si="46">IF(AO14="","",ROUND((SUM($T14:$U15)/12),0))</f>
        <v/>
      </c>
      <c r="BF65" s="222" t="str">
        <f t="shared" si="46"/>
        <v/>
      </c>
      <c r="BG65" s="222" t="str">
        <f t="shared" si="46"/>
        <v/>
      </c>
      <c r="BH65" s="222" t="str">
        <f t="shared" si="46"/>
        <v/>
      </c>
      <c r="BI65" s="222" t="str">
        <f t="shared" si="46"/>
        <v/>
      </c>
      <c r="BJ65" s="222" t="str">
        <f t="shared" si="46"/>
        <v/>
      </c>
      <c r="BK65" s="222" t="str">
        <f t="shared" si="46"/>
        <v/>
      </c>
      <c r="BL65" s="222" t="str">
        <f t="shared" si="46"/>
        <v/>
      </c>
      <c r="BM65" s="222" t="str">
        <f t="shared" si="46"/>
        <v/>
      </c>
      <c r="BN65" s="222" t="str">
        <f t="shared" si="46"/>
        <v/>
      </c>
      <c r="BO65" s="222" t="str">
        <f t="shared" si="46"/>
        <v/>
      </c>
      <c r="BP65" s="222" t="str">
        <f t="shared" si="46"/>
        <v/>
      </c>
    </row>
    <row r="66" spans="24:68" ht="18.95" customHeight="1" x14ac:dyDescent="0.15">
      <c r="X66" s="1" t="str">
        <f>"介護分各個人月別計（令和"&amp;DBCS(税率・条件!C1)&amp;"年度税率）"</f>
        <v>介護分各個人月別計（令和８年度税率）</v>
      </c>
      <c r="AD66" s="1" t="s">
        <v>191</v>
      </c>
      <c r="AZ66" s="121"/>
      <c r="BA66" s="121"/>
      <c r="BB66" s="206"/>
      <c r="BD66" s="214" t="s">
        <v>163</v>
      </c>
      <c r="BE66" s="223" t="str">
        <f t="shared" ref="BE66:BP66" si="47">IF(AO14="","",ROUND(SUM($V14:$W15)/12,0))</f>
        <v/>
      </c>
      <c r="BF66" s="223" t="str">
        <f t="shared" si="47"/>
        <v/>
      </c>
      <c r="BG66" s="223" t="str">
        <f t="shared" si="47"/>
        <v/>
      </c>
      <c r="BH66" s="223" t="str">
        <f t="shared" si="47"/>
        <v/>
      </c>
      <c r="BI66" s="223" t="str">
        <f t="shared" si="47"/>
        <v/>
      </c>
      <c r="BJ66" s="223" t="str">
        <f t="shared" si="47"/>
        <v/>
      </c>
      <c r="BK66" s="223" t="str">
        <f t="shared" si="47"/>
        <v/>
      </c>
      <c r="BL66" s="223" t="str">
        <f t="shared" si="47"/>
        <v/>
      </c>
      <c r="BM66" s="223" t="str">
        <f t="shared" si="47"/>
        <v/>
      </c>
      <c r="BN66" s="223" t="str">
        <f t="shared" si="47"/>
        <v/>
      </c>
      <c r="BO66" s="223" t="str">
        <f t="shared" si="47"/>
        <v/>
      </c>
      <c r="BP66" s="223" t="str">
        <f t="shared" si="47"/>
        <v/>
      </c>
    </row>
    <row r="67" spans="24:68" ht="18.95" customHeight="1" x14ac:dyDescent="0.15">
      <c r="X67" s="350"/>
      <c r="Y67" s="352" t="s">
        <v>72</v>
      </c>
      <c r="Z67" s="297" t="s">
        <v>70</v>
      </c>
      <c r="AA67" s="337"/>
      <c r="AB67" s="337"/>
      <c r="AC67" s="337"/>
      <c r="AD67" s="337"/>
      <c r="AE67" s="337"/>
      <c r="AF67" s="337"/>
      <c r="AG67" s="337"/>
      <c r="AH67" s="337"/>
      <c r="AI67" s="337"/>
      <c r="AJ67" s="337"/>
      <c r="AK67" s="337"/>
      <c r="AL67" s="299"/>
      <c r="AM67" s="186"/>
      <c r="AN67" s="186"/>
      <c r="AO67" s="186"/>
      <c r="AP67" s="186"/>
      <c r="AQ67" s="186"/>
      <c r="AR67" s="186"/>
      <c r="AS67" s="186"/>
      <c r="AT67" s="186"/>
      <c r="AU67" s="186"/>
      <c r="AV67" s="186"/>
      <c r="AW67" s="186"/>
      <c r="AX67" s="186"/>
      <c r="AY67" s="186"/>
      <c r="AZ67" s="121"/>
      <c r="BA67" s="121"/>
      <c r="BB67" s="207"/>
      <c r="BD67" s="213" t="s">
        <v>164</v>
      </c>
      <c r="BE67" s="222" t="str">
        <f t="shared" ref="BE67:BP67" si="48">IF(AO16="","",ROUND((SUM($T16:$U17)/12),0))</f>
        <v/>
      </c>
      <c r="BF67" s="222" t="str">
        <f t="shared" si="48"/>
        <v/>
      </c>
      <c r="BG67" s="222" t="str">
        <f t="shared" si="48"/>
        <v/>
      </c>
      <c r="BH67" s="222" t="str">
        <f t="shared" si="48"/>
        <v/>
      </c>
      <c r="BI67" s="222" t="str">
        <f t="shared" si="48"/>
        <v/>
      </c>
      <c r="BJ67" s="222" t="str">
        <f t="shared" si="48"/>
        <v/>
      </c>
      <c r="BK67" s="222" t="str">
        <f t="shared" si="48"/>
        <v/>
      </c>
      <c r="BL67" s="222" t="str">
        <f t="shared" si="48"/>
        <v/>
      </c>
      <c r="BM67" s="222" t="str">
        <f t="shared" si="48"/>
        <v/>
      </c>
      <c r="BN67" s="222" t="str">
        <f t="shared" si="48"/>
        <v/>
      </c>
      <c r="BO67" s="222" t="str">
        <f t="shared" si="48"/>
        <v/>
      </c>
      <c r="BP67" s="222" t="str">
        <f t="shared" si="48"/>
        <v/>
      </c>
    </row>
    <row r="68" spans="24:68" ht="18.95" customHeight="1" x14ac:dyDescent="0.15">
      <c r="X68" s="351"/>
      <c r="Y68" s="353"/>
      <c r="Z68" s="166" t="s">
        <v>124</v>
      </c>
      <c r="AA68" s="173" t="s">
        <v>105</v>
      </c>
      <c r="AB68" s="173" t="s">
        <v>138</v>
      </c>
      <c r="AC68" s="173" t="s">
        <v>139</v>
      </c>
      <c r="AD68" s="173" t="s">
        <v>112</v>
      </c>
      <c r="AE68" s="173" t="s">
        <v>63</v>
      </c>
      <c r="AF68" s="173" t="s">
        <v>129</v>
      </c>
      <c r="AG68" s="173" t="s">
        <v>61</v>
      </c>
      <c r="AH68" s="173" t="s">
        <v>140</v>
      </c>
      <c r="AI68" s="176" t="s">
        <v>141</v>
      </c>
      <c r="AJ68" s="176" t="s">
        <v>142</v>
      </c>
      <c r="AK68" s="176" t="s">
        <v>143</v>
      </c>
      <c r="AL68" s="182" t="s">
        <v>56</v>
      </c>
      <c r="AM68" s="9"/>
      <c r="AN68" s="191"/>
      <c r="AO68" s="195"/>
      <c r="AP68" s="195"/>
      <c r="AQ68" s="191"/>
      <c r="AR68" s="195"/>
      <c r="AS68" s="195"/>
      <c r="AT68" s="191"/>
      <c r="AU68" s="195"/>
      <c r="AV68" s="195"/>
      <c r="AW68" s="191"/>
      <c r="AX68" s="195"/>
      <c r="AY68" s="195"/>
      <c r="AZ68" s="202"/>
      <c r="BA68" s="125"/>
      <c r="BB68" s="207"/>
      <c r="BD68" s="214" t="s">
        <v>165</v>
      </c>
      <c r="BE68" s="223" t="str">
        <f t="shared" ref="BE68:BP68" si="49">IF(AO16="","",ROUND(SUM($V16:$W17)/12,0))</f>
        <v/>
      </c>
      <c r="BF68" s="223" t="str">
        <f t="shared" si="49"/>
        <v/>
      </c>
      <c r="BG68" s="223" t="str">
        <f t="shared" si="49"/>
        <v/>
      </c>
      <c r="BH68" s="223" t="str">
        <f t="shared" si="49"/>
        <v/>
      </c>
      <c r="BI68" s="223" t="str">
        <f t="shared" si="49"/>
        <v/>
      </c>
      <c r="BJ68" s="223" t="str">
        <f t="shared" si="49"/>
        <v/>
      </c>
      <c r="BK68" s="223" t="str">
        <f t="shared" si="49"/>
        <v/>
      </c>
      <c r="BL68" s="223" t="str">
        <f t="shared" si="49"/>
        <v/>
      </c>
      <c r="BM68" s="223" t="str">
        <f t="shared" si="49"/>
        <v/>
      </c>
      <c r="BN68" s="223" t="str">
        <f t="shared" si="49"/>
        <v/>
      </c>
      <c r="BO68" s="223" t="str">
        <f t="shared" si="49"/>
        <v/>
      </c>
      <c r="BP68" s="223" t="str">
        <f t="shared" si="49"/>
        <v/>
      </c>
    </row>
    <row r="69" spans="24:68" ht="18.95" customHeight="1" x14ac:dyDescent="0.15">
      <c r="X69" s="149" t="str">
        <f t="shared" ref="X69:Y76" si="50">X55</f>
        <v>世帯主</v>
      </c>
      <c r="Y69" s="155" t="str">
        <f t="shared" si="50"/>
        <v/>
      </c>
      <c r="Z69" s="167" t="str">
        <f>IF(BE102="","",ROUND(IF(BE$119&lt;ROUNDDOWN(税率・条件!$C$18/12,0),BE101+BE102,BE101*(((税率・条件!$C$18/12)-BE$118)/BE$117)+BE102),0))</f>
        <v/>
      </c>
      <c r="AA69" s="174" t="str">
        <f>IF(BF102="","",ROUND(IF(BF$119&lt;ROUNDDOWN(税率・条件!$C$18/12,0),BF101+BF102,BF101*(((税率・条件!$C$18/12)-BF$118)/BF$117)+BF102),0))</f>
        <v/>
      </c>
      <c r="AB69" s="174" t="str">
        <f>IF(BG102="","",ROUND(IF(BG$119&lt;ROUNDDOWN(税率・条件!$C$18/12,0),BG101+BG102,BG101*(((税率・条件!$C$18/12)-BG$118)/BG$117)+BG102),0))</f>
        <v/>
      </c>
      <c r="AC69" s="174" t="str">
        <f>IF(BH102="","",ROUND(IF(BH$119&lt;ROUNDDOWN(税率・条件!$C$18/12,0),BH101+BH102,BH101*(((税率・条件!$C$18/12)-BH$118)/BH$117)+BH102),0))</f>
        <v/>
      </c>
      <c r="AD69" s="174" t="str">
        <f>IF(BI102="","",ROUND(IF(BI$119&lt;ROUNDDOWN(税率・条件!$C$18/12,0),BI101+BI102,BI101*(((税率・条件!$C$18/12)-BI$118)/BI$117)+BI102),0))</f>
        <v/>
      </c>
      <c r="AE69" s="174" t="str">
        <f>IF(BJ102="","",ROUND(IF(BJ$119&lt;ROUNDDOWN(税率・条件!$C$18/12,0),BJ101+BJ102,BJ101*(((税率・条件!$C$18/12)-BJ$118)/BJ$117)+BJ102),0))</f>
        <v/>
      </c>
      <c r="AF69" s="174" t="str">
        <f>IF(BK102="","",ROUND(IF(BK$119&lt;ROUNDDOWN(税率・条件!$C$18/12,0),BK101+BK102,BK101*(((税率・条件!$C$18/12)-BK$118)/BK$117)+BK102),0))</f>
        <v/>
      </c>
      <c r="AG69" s="174" t="str">
        <f>IF(BL102="","",ROUND(IF(BL$119&lt;ROUNDDOWN(税率・条件!$C$18/12,0),BL101+BL102,BL101*(((税率・条件!$C$18/12)-BL$118)/BL$117)+BL102),0))</f>
        <v/>
      </c>
      <c r="AH69" s="174" t="str">
        <f>IF(BM102="","",ROUND(IF(BM$119&lt;ROUNDDOWN(税率・条件!$C$18/12,0),BM101+BM102,BM101*(((税率・条件!$C$18/12)-BM$118)/BM$117)+BM102),0))</f>
        <v/>
      </c>
      <c r="AI69" s="174" t="str">
        <f>IF(BN102="","",ROUND(IF(BN$119&lt;ROUNDDOWN(税率・条件!$C$18/12,0),BN101+BN102,BN101*(((税率・条件!$C$18/12)-BN$118)/BN$117)+BN102),0))</f>
        <v/>
      </c>
      <c r="AJ69" s="174" t="str">
        <f>IF(BO102="","",ROUND(IF(BO$119&lt;ROUNDDOWN(税率・条件!$C$18/12,0),BO101+BO102,BO101*(((税率・条件!$C$18/12)-BO$118)/BO$117)+BO102),0))</f>
        <v/>
      </c>
      <c r="AK69" s="177" t="str">
        <f>IF(BP102="","",ROUND(IF(BP$119&lt;ROUNDDOWN(税率・条件!$C$18/12,0),BP101+BP102,BP101*(((税率・条件!$C$18/12)-BP$118)/BP$117)+BP102),0))</f>
        <v/>
      </c>
      <c r="AL69" s="183" t="str">
        <f>IF(AH4="","",SUM(Z69:AK69))</f>
        <v/>
      </c>
      <c r="AM69" s="187"/>
      <c r="AN69" s="191"/>
      <c r="AO69" s="186"/>
      <c r="AP69" s="186"/>
      <c r="AQ69" s="191"/>
      <c r="AR69" s="186"/>
      <c r="AS69" s="186"/>
      <c r="AT69" s="191"/>
      <c r="AU69" s="186"/>
      <c r="AV69" s="186"/>
      <c r="AW69" s="191"/>
      <c r="AX69" s="187"/>
      <c r="AY69" s="187"/>
      <c r="AZ69" s="203"/>
      <c r="BA69" s="125"/>
      <c r="BB69" s="207"/>
      <c r="BD69" s="213" t="s">
        <v>167</v>
      </c>
      <c r="BE69" s="222" t="str">
        <f t="shared" ref="BE69:BP69" si="51">IF(AO18="","",ROUND((SUM($T18:$U19)/12),0))</f>
        <v/>
      </c>
      <c r="BF69" s="222" t="str">
        <f t="shared" si="51"/>
        <v/>
      </c>
      <c r="BG69" s="222" t="str">
        <f t="shared" si="51"/>
        <v/>
      </c>
      <c r="BH69" s="222" t="str">
        <f t="shared" si="51"/>
        <v/>
      </c>
      <c r="BI69" s="222" t="str">
        <f t="shared" si="51"/>
        <v/>
      </c>
      <c r="BJ69" s="222" t="str">
        <f t="shared" si="51"/>
        <v/>
      </c>
      <c r="BK69" s="222" t="str">
        <f t="shared" si="51"/>
        <v/>
      </c>
      <c r="BL69" s="222" t="str">
        <f t="shared" si="51"/>
        <v/>
      </c>
      <c r="BM69" s="222" t="str">
        <f t="shared" si="51"/>
        <v/>
      </c>
      <c r="BN69" s="222" t="str">
        <f t="shared" si="51"/>
        <v/>
      </c>
      <c r="BO69" s="222" t="str">
        <f t="shared" si="51"/>
        <v/>
      </c>
      <c r="BP69" s="222" t="str">
        <f t="shared" si="51"/>
        <v/>
      </c>
    </row>
    <row r="70" spans="24:68" ht="18.95" customHeight="1" x14ac:dyDescent="0.15">
      <c r="X70" s="149" t="str">
        <f t="shared" si="50"/>
        <v>２</v>
      </c>
      <c r="Y70" s="155" t="str">
        <f t="shared" si="50"/>
        <v/>
      </c>
      <c r="Z70" s="167" t="str">
        <f>IF(BE104="","",ROUND(IF(BE$119&lt;ROUNDDOWN(税率・条件!$C$18/12,0),BE103+BE104,BE103*(((税率・条件!$C$18/12)-BE$118)/BE$117)+BE104),0))</f>
        <v/>
      </c>
      <c r="AA70" s="174" t="str">
        <f>IF(BF104="","",ROUND(IF(BF$119&lt;ROUNDDOWN(税率・条件!$C$18/12,0),BF103+BF104,BF103*(((税率・条件!$C$18/12)-BF$118)/BF$117)+BF104),0))</f>
        <v/>
      </c>
      <c r="AB70" s="174" t="str">
        <f>IF(BG104="","",ROUND(IF(BG$119&lt;ROUNDDOWN(税率・条件!$C$18/12,0),BG103+BG104,BG103*(((税率・条件!$C$18/12)-BG$118)/BG$117)+BG104),0))</f>
        <v/>
      </c>
      <c r="AC70" s="174" t="str">
        <f>IF(BH104="","",ROUND(IF(BH$119&lt;ROUNDDOWN(税率・条件!$C$18/12,0),BH103+BH104,BH103*(((税率・条件!$C$18/12)-BH$118)/BH$117)+BH104),0))</f>
        <v/>
      </c>
      <c r="AD70" s="174" t="str">
        <f>IF(BI104="","",ROUND(IF(BI$119&lt;ROUNDDOWN(税率・条件!$C$18/12,0),BI103+BI104,BI103*(((税率・条件!$C$18/12)-BI$118)/BI$117)+BI104),0))</f>
        <v/>
      </c>
      <c r="AE70" s="174" t="str">
        <f>IF(BJ104="","",ROUND(IF(BJ$119&lt;ROUNDDOWN(税率・条件!$C$18/12,0),BJ103+BJ104,BJ103*(((税率・条件!$C$18/12)-BJ$118)/BJ$117)+BJ104),0))</f>
        <v/>
      </c>
      <c r="AF70" s="174" t="str">
        <f>IF(BK104="","",ROUND(IF(BK$119&lt;ROUNDDOWN(税率・条件!$C$18/12,0),BK103+BK104,BK103*(((税率・条件!$C$18/12)-BK$118)/BK$117)+BK104),0))</f>
        <v/>
      </c>
      <c r="AG70" s="174" t="str">
        <f>IF(BL104="","",ROUND(IF(BL$119&lt;ROUNDDOWN(税率・条件!$C$18/12,0),BL103+BL104,BL103*(((税率・条件!$C$18/12)-BL$118)/BL$117)+BL104),0))</f>
        <v/>
      </c>
      <c r="AH70" s="174" t="str">
        <f>IF(BM104="","",ROUND(IF(BM$119&lt;ROUNDDOWN(税率・条件!$C$18/12,0),BM103+BM104,BM103*(((税率・条件!$C$18/12)-BM$118)/BM$117)+BM104),0))</f>
        <v/>
      </c>
      <c r="AI70" s="174" t="str">
        <f>IF(BN104="","",ROUND(IF(BN$119&lt;ROUNDDOWN(税率・条件!$C$18/12,0),BN103+BN104,BN103*(((税率・条件!$C$18/12)-BN$118)/BN$117)+BN104),0))</f>
        <v/>
      </c>
      <c r="AJ70" s="174" t="str">
        <f>IF(BO104="","",ROUND(IF(BO$119&lt;ROUNDDOWN(税率・条件!$C$18/12,0),BO103+BO104,BO103*(((税率・条件!$C$18/12)-BO$118)/BO$117)+BO104),0))</f>
        <v/>
      </c>
      <c r="AK70" s="177" t="str">
        <f>IF(BP104="","",ROUND(IF(BP$119&lt;ROUNDDOWN(税率・条件!$C$18/12,0),BP103+BP104,BP103*(((税率・条件!$C$18/12)-BP$118)/BP$117)+BP104),0))</f>
        <v/>
      </c>
      <c r="AL70" s="183" t="str">
        <f>IF(AH6="","",SUM(Z70:AK70))</f>
        <v/>
      </c>
      <c r="AM70" s="187"/>
      <c r="AN70" s="191"/>
      <c r="AO70" s="186"/>
      <c r="AP70" s="186"/>
      <c r="AQ70" s="191"/>
      <c r="AR70" s="186"/>
      <c r="AS70" s="186"/>
      <c r="AT70" s="191"/>
      <c r="AU70" s="186"/>
      <c r="AV70" s="186"/>
      <c r="AW70" s="191"/>
      <c r="AX70" s="187"/>
      <c r="AY70" s="187"/>
      <c r="AZ70" s="203"/>
      <c r="BA70" s="125"/>
      <c r="BB70" s="207"/>
      <c r="BD70" s="214" t="s">
        <v>168</v>
      </c>
      <c r="BE70" s="223" t="str">
        <f t="shared" ref="BE70:BP70" si="52">IF(AO18="","",ROUND(SUM($V18:$W19)/12,0))</f>
        <v/>
      </c>
      <c r="BF70" s="223" t="str">
        <f t="shared" si="52"/>
        <v/>
      </c>
      <c r="BG70" s="223" t="str">
        <f t="shared" si="52"/>
        <v/>
      </c>
      <c r="BH70" s="223" t="str">
        <f t="shared" si="52"/>
        <v/>
      </c>
      <c r="BI70" s="223" t="str">
        <f t="shared" si="52"/>
        <v/>
      </c>
      <c r="BJ70" s="223" t="str">
        <f t="shared" si="52"/>
        <v/>
      </c>
      <c r="BK70" s="223" t="str">
        <f t="shared" si="52"/>
        <v/>
      </c>
      <c r="BL70" s="223" t="str">
        <f t="shared" si="52"/>
        <v/>
      </c>
      <c r="BM70" s="223" t="str">
        <f t="shared" si="52"/>
        <v/>
      </c>
      <c r="BN70" s="223" t="str">
        <f t="shared" si="52"/>
        <v/>
      </c>
      <c r="BO70" s="223" t="str">
        <f t="shared" si="52"/>
        <v/>
      </c>
      <c r="BP70" s="223" t="str">
        <f t="shared" si="52"/>
        <v/>
      </c>
    </row>
    <row r="71" spans="24:68" ht="18.95" customHeight="1" x14ac:dyDescent="0.15">
      <c r="X71" s="149" t="str">
        <f t="shared" si="50"/>
        <v>３</v>
      </c>
      <c r="Y71" s="155" t="str">
        <f t="shared" si="50"/>
        <v/>
      </c>
      <c r="Z71" s="167" t="str">
        <f>IF(BE106="","",ROUND(IF(BE$119&lt;ROUNDDOWN(税率・条件!$C$18/12,0),BE105+BE106,BE105*(((税率・条件!$C$18/12)-BE$118)/BE$117)+BE106),0))</f>
        <v/>
      </c>
      <c r="AA71" s="174" t="str">
        <f>IF(BF106="","",ROUND(IF(BF$119&lt;ROUNDDOWN(税率・条件!$C$18/12,0),BF105+BF106,BF105*(((税率・条件!$C$18/12)-BF$118)/BF$117)+BF106),0))</f>
        <v/>
      </c>
      <c r="AB71" s="174" t="str">
        <f>IF(BG106="","",ROUND(IF(BG$119&lt;ROUNDDOWN(税率・条件!$C$18/12,0),BG105+BG106,BG105*(((税率・条件!$C$18/12)-BG$118)/BG$117)+BG106),0))</f>
        <v/>
      </c>
      <c r="AC71" s="174" t="str">
        <f>IF(BH106="","",ROUND(IF(BH$119&lt;ROUNDDOWN(税率・条件!$C$18/12,0),BH105+BH106,BH105*(((税率・条件!$C$18/12)-BH$118)/BH$117)+BH106),0))</f>
        <v/>
      </c>
      <c r="AD71" s="174" t="str">
        <f>IF(BI106="","",ROUND(IF(BI$119&lt;ROUNDDOWN(税率・条件!$C$18/12,0),BI105+BI106,BI105*(((税率・条件!$C$18/12)-BI$118)/BI$117)+BI106),0))</f>
        <v/>
      </c>
      <c r="AE71" s="174" t="str">
        <f>IF(BJ106="","",ROUND(IF(BJ$119&lt;ROUNDDOWN(税率・条件!$C$18/12,0),BJ105+BJ106,BJ105*(((税率・条件!$C$18/12)-BJ$118)/BJ$117)+BJ106),0))</f>
        <v/>
      </c>
      <c r="AF71" s="174" t="str">
        <f>IF(BK106="","",ROUND(IF(BK$119&lt;ROUNDDOWN(税率・条件!$C$18/12,0),BK105+BK106,BK105*(((税率・条件!$C$18/12)-BK$118)/BK$117)+BK106),0))</f>
        <v/>
      </c>
      <c r="AG71" s="174" t="str">
        <f>IF(BL106="","",ROUND(IF(BL$119&lt;ROUNDDOWN(税率・条件!$C$18/12,0),BL105+BL106,BL105*(((税率・条件!$C$18/12)-BL$118)/BL$117)+BL106),0))</f>
        <v/>
      </c>
      <c r="AH71" s="174" t="str">
        <f>IF(BM106="","",ROUND(IF(BM$119&lt;ROUNDDOWN(税率・条件!$C$18/12,0),BM105+BM106,BM105*(((税率・条件!$C$18/12)-BM$118)/BM$117)+BM106),0))</f>
        <v/>
      </c>
      <c r="AI71" s="174" t="str">
        <f>IF(BN106="","",ROUND(IF(BN$119&lt;ROUNDDOWN(税率・条件!$C$18/12,0),BN105+BN106,BN105*(((税率・条件!$C$18/12)-BN$118)/BN$117)+BN106),0))</f>
        <v/>
      </c>
      <c r="AJ71" s="174" t="str">
        <f>IF(BO106="","",ROUND(IF(BO$119&lt;ROUNDDOWN(税率・条件!$C$18/12,0),BO105+BO106,BO105*(((税率・条件!$C$18/12)-BO$118)/BO$117)+BO106),0))</f>
        <v/>
      </c>
      <c r="AK71" s="177" t="str">
        <f>IF(BP106="","",ROUND(IF(BP$119&lt;ROUNDDOWN(税率・条件!$C$18/12,0),BP105+BP106,BP105*(((税率・条件!$C$18/12)-BP$118)/BP$117)+BP106),0))</f>
        <v/>
      </c>
      <c r="AL71" s="183" t="str">
        <f>IF(AH8="","",SUM(Z71:AK71))</f>
        <v/>
      </c>
      <c r="AM71" s="187"/>
      <c r="AN71" s="191"/>
      <c r="AO71" s="186"/>
      <c r="AP71" s="186"/>
      <c r="AQ71" s="191"/>
      <c r="AR71" s="186"/>
      <c r="AS71" s="186"/>
      <c r="AT71" s="191"/>
      <c r="AU71" s="186"/>
      <c r="AV71" s="186"/>
      <c r="AW71" s="191"/>
      <c r="AX71" s="187"/>
      <c r="AY71" s="187"/>
      <c r="AZ71" s="203"/>
      <c r="BA71" s="125"/>
      <c r="BB71" s="207"/>
      <c r="BD71" s="202" t="s">
        <v>37</v>
      </c>
      <c r="BE71" s="133">
        <f t="shared" ref="BE71:BP72" si="53">SUM(BE55,BE57,BE59,BE61,BE63,BE65,BE67,BE69)</f>
        <v>0</v>
      </c>
      <c r="BF71" s="133">
        <f t="shared" si="53"/>
        <v>0</v>
      </c>
      <c r="BG71" s="133">
        <f t="shared" si="53"/>
        <v>0</v>
      </c>
      <c r="BH71" s="133">
        <f t="shared" si="53"/>
        <v>0</v>
      </c>
      <c r="BI71" s="133">
        <f t="shared" si="53"/>
        <v>0</v>
      </c>
      <c r="BJ71" s="133">
        <f t="shared" si="53"/>
        <v>0</v>
      </c>
      <c r="BK71" s="133">
        <f t="shared" si="53"/>
        <v>0</v>
      </c>
      <c r="BL71" s="133">
        <f t="shared" si="53"/>
        <v>0</v>
      </c>
      <c r="BM71" s="133">
        <f t="shared" si="53"/>
        <v>0</v>
      </c>
      <c r="BN71" s="133">
        <f t="shared" si="53"/>
        <v>0</v>
      </c>
      <c r="BO71" s="133">
        <f t="shared" si="53"/>
        <v>0</v>
      </c>
      <c r="BP71" s="133">
        <f t="shared" si="53"/>
        <v>0</v>
      </c>
    </row>
    <row r="72" spans="24:68" ht="18.95" customHeight="1" x14ac:dyDescent="0.15">
      <c r="X72" s="149" t="str">
        <f t="shared" si="50"/>
        <v>４</v>
      </c>
      <c r="Y72" s="155" t="str">
        <f t="shared" si="50"/>
        <v/>
      </c>
      <c r="Z72" s="167" t="str">
        <f>IF(BE108="","",ROUND(IF(BE$119&lt;ROUNDDOWN(税率・条件!$C$18/12,0),BE107+BE108,BE107*(((税率・条件!$C$18/12)-BE$118)/BE$117)+BE108),0))</f>
        <v/>
      </c>
      <c r="AA72" s="174" t="str">
        <f>IF(BF108="","",ROUND(IF(BF$119&lt;ROUNDDOWN(税率・条件!$C$18/12,0),BF107+BF108,BF107*(((税率・条件!$C$18/12)-BF$118)/BF$117)+BF108),0))</f>
        <v/>
      </c>
      <c r="AB72" s="174" t="str">
        <f>IF(BG108="","",ROUND(IF(BG$119&lt;ROUNDDOWN(税率・条件!$C$18/12,0),BG107+BG108,BG107*(((税率・条件!$C$18/12)-BG$118)/BG$117)+BG108),0))</f>
        <v/>
      </c>
      <c r="AC72" s="174" t="str">
        <f>IF(BH108="","",ROUND(IF(BH$119&lt;ROUNDDOWN(税率・条件!$C$18/12,0),BH107+BH108,BH107*(((税率・条件!$C$18/12)-BH$118)/BH$117)+BH108),0))</f>
        <v/>
      </c>
      <c r="AD72" s="174" t="str">
        <f>IF(BI108="","",ROUND(IF(BI$119&lt;ROUNDDOWN(税率・条件!$C$18/12,0),BI107+BI108,BI107*(((税率・条件!$C$18/12)-BI$118)/BI$117)+BI108),0))</f>
        <v/>
      </c>
      <c r="AE72" s="174" t="str">
        <f>IF(BJ108="","",ROUND(IF(BJ$119&lt;ROUNDDOWN(税率・条件!$C$18/12,0),BJ107+BJ108,BJ107*(((税率・条件!$C$18/12)-BJ$118)/BJ$117)+BJ108),0))</f>
        <v/>
      </c>
      <c r="AF72" s="174" t="str">
        <f>IF(BK108="","",ROUND(IF(BK$119&lt;ROUNDDOWN(税率・条件!$C$18/12,0),BK107+BK108,BK107*(((税率・条件!$C$18/12)-BK$118)/BK$117)+BK108),0))</f>
        <v/>
      </c>
      <c r="AG72" s="174" t="str">
        <f>IF(BL108="","",ROUND(IF(BL$119&lt;ROUNDDOWN(税率・条件!$C$18/12,0),BL107+BL108,BL107*(((税率・条件!$C$18/12)-BL$118)/BL$117)+BL108),0))</f>
        <v/>
      </c>
      <c r="AH72" s="174" t="str">
        <f>IF(BM108="","",ROUND(IF(BM$119&lt;ROUNDDOWN(税率・条件!$C$18/12,0),BM107+BM108,BM107*(((税率・条件!$C$18/12)-BM$118)/BM$117)+BM108),0))</f>
        <v/>
      </c>
      <c r="AI72" s="174" t="str">
        <f>IF(BN108="","",ROUND(IF(BN$119&lt;ROUNDDOWN(税率・条件!$C$18/12,0),BN107+BN108,BN107*(((税率・条件!$C$18/12)-BN$118)/BN$117)+BN108),0))</f>
        <v/>
      </c>
      <c r="AJ72" s="174" t="str">
        <f>IF(BO108="","",ROUND(IF(BO$119&lt;ROUNDDOWN(税率・条件!$C$18/12,0),BO107+BO108,BO107*(((税率・条件!$C$18/12)-BO$118)/BO$117)+BO108),0))</f>
        <v/>
      </c>
      <c r="AK72" s="177" t="str">
        <f>IF(BP108="","",ROUND(IF(BP$119&lt;ROUNDDOWN(税率・条件!$C$18/12,0),BP107+BP108,BP107*(((税率・条件!$C$18/12)-BP$118)/BP$117)+BP108),0))</f>
        <v/>
      </c>
      <c r="AL72" s="183" t="str">
        <f>IF(AH10="","",SUM(Z72:AK72))</f>
        <v/>
      </c>
      <c r="AM72" s="187"/>
      <c r="AN72" s="191"/>
      <c r="AO72" s="186"/>
      <c r="AP72" s="186"/>
      <c r="AQ72" s="191"/>
      <c r="AR72" s="186"/>
      <c r="AS72" s="186"/>
      <c r="AT72" s="191"/>
      <c r="AU72" s="186"/>
      <c r="AV72" s="186"/>
      <c r="AW72" s="191"/>
      <c r="AX72" s="187"/>
      <c r="AY72" s="187"/>
      <c r="AZ72" s="203"/>
      <c r="BA72" s="125"/>
      <c r="BB72" s="207"/>
      <c r="BD72" s="202" t="s">
        <v>169</v>
      </c>
      <c r="BE72" s="133">
        <f t="shared" si="53"/>
        <v>0</v>
      </c>
      <c r="BF72" s="133">
        <f t="shared" si="53"/>
        <v>0</v>
      </c>
      <c r="BG72" s="133">
        <f t="shared" si="53"/>
        <v>0</v>
      </c>
      <c r="BH72" s="133">
        <f t="shared" si="53"/>
        <v>0</v>
      </c>
      <c r="BI72" s="133">
        <f t="shared" si="53"/>
        <v>0</v>
      </c>
      <c r="BJ72" s="133">
        <f t="shared" si="53"/>
        <v>0</v>
      </c>
      <c r="BK72" s="133">
        <f t="shared" si="53"/>
        <v>0</v>
      </c>
      <c r="BL72" s="133">
        <f t="shared" si="53"/>
        <v>0</v>
      </c>
      <c r="BM72" s="133">
        <f t="shared" si="53"/>
        <v>0</v>
      </c>
      <c r="BN72" s="133">
        <f t="shared" si="53"/>
        <v>0</v>
      </c>
      <c r="BO72" s="133">
        <f t="shared" si="53"/>
        <v>0</v>
      </c>
      <c r="BP72" s="133">
        <f t="shared" si="53"/>
        <v>0</v>
      </c>
    </row>
    <row r="73" spans="24:68" ht="18.95" customHeight="1" x14ac:dyDescent="0.15">
      <c r="X73" s="149" t="str">
        <f t="shared" si="50"/>
        <v>５</v>
      </c>
      <c r="Y73" s="155" t="str">
        <f t="shared" si="50"/>
        <v/>
      </c>
      <c r="Z73" s="167" t="str">
        <f>IF(BE110="","",ROUND(IF(BE$119&lt;ROUNDDOWN(税率・条件!$C$18/12,0),BE109+BE110,BE109*(((税率・条件!$C$18/12)-BE$118)/BE$117)+BE110),0))</f>
        <v/>
      </c>
      <c r="AA73" s="174" t="str">
        <f>IF(BF110="","",ROUND(IF(BF$119&lt;ROUNDDOWN(税率・条件!$C$18/12,0),BF109+BF110,BF109*(((税率・条件!$C$18/12)-BF$118)/BF$117)+BF110),0))</f>
        <v/>
      </c>
      <c r="AB73" s="174" t="str">
        <f>IF(BG110="","",ROUND(IF(BG$119&lt;ROUNDDOWN(税率・条件!$C$18/12,0),BG109+BG110,BG109*(((税率・条件!$C$18/12)-BG$118)/BG$117)+BG110),0))</f>
        <v/>
      </c>
      <c r="AC73" s="174" t="str">
        <f>IF(BH110="","",ROUND(IF(BH$119&lt;ROUNDDOWN(税率・条件!$C$18/12,0),BH109+BH110,BH109*(((税率・条件!$C$18/12)-BH$118)/BH$117)+BH110),0))</f>
        <v/>
      </c>
      <c r="AD73" s="174" t="str">
        <f>IF(BI110="","",ROUND(IF(BI$119&lt;ROUNDDOWN(税率・条件!$C$18/12,0),BI109+BI110,BI109*(((税率・条件!$C$18/12)-BI$118)/BI$117)+BI110),0))</f>
        <v/>
      </c>
      <c r="AE73" s="174" t="str">
        <f>IF(BJ110="","",ROUND(IF(BJ$119&lt;ROUNDDOWN(税率・条件!$C$18/12,0),BJ109+BJ110,BJ109*(((税率・条件!$C$18/12)-BJ$118)/BJ$117)+BJ110),0))</f>
        <v/>
      </c>
      <c r="AF73" s="174" t="str">
        <f>IF(BK110="","",ROUND(IF(BK$119&lt;ROUNDDOWN(税率・条件!$C$18/12,0),BK109+BK110,BK109*(((税率・条件!$C$18/12)-BK$118)/BK$117)+BK110),0))</f>
        <v/>
      </c>
      <c r="AG73" s="174" t="str">
        <f>IF(BL110="","",ROUND(IF(BL$119&lt;ROUNDDOWN(税率・条件!$C$18/12,0),BL109+BL110,BL109*(((税率・条件!$C$18/12)-BL$118)/BL$117)+BL110),0))</f>
        <v/>
      </c>
      <c r="AH73" s="174" t="str">
        <f>IF(BM110="","",ROUND(IF(BM$119&lt;ROUNDDOWN(税率・条件!$C$18/12,0),BM109+BM110,BM109*(((税率・条件!$C$18/12)-BM$118)/BM$117)+BM110),0))</f>
        <v/>
      </c>
      <c r="AI73" s="174" t="str">
        <f>IF(BN110="","",ROUND(IF(BN$119&lt;ROUNDDOWN(税率・条件!$C$18/12,0),BN109+BN110,BN109*(((税率・条件!$C$18/12)-BN$118)/BN$117)+BN110),0))</f>
        <v/>
      </c>
      <c r="AJ73" s="174" t="str">
        <f>IF(BO110="","",ROUND(IF(BO$119&lt;ROUNDDOWN(税率・条件!$C$18/12,0),BO109+BO110,BO109*(((税率・条件!$C$18/12)-BO$118)/BO$117)+BO110),0))</f>
        <v/>
      </c>
      <c r="AK73" s="177" t="str">
        <f>IF(BP110="","",ROUND(IF(BP$119&lt;ROUNDDOWN(税率・条件!$C$18/12,0),BP109+BP110,BP109*(((税率・条件!$C$18/12)-BP$118)/BP$117)+BP110),0))</f>
        <v/>
      </c>
      <c r="AL73" s="183" t="str">
        <f>IF(AH12="","",SUM(Z73:AK73))</f>
        <v/>
      </c>
      <c r="AM73" s="187"/>
      <c r="AN73" s="191"/>
      <c r="AO73" s="186"/>
      <c r="AP73" s="186"/>
      <c r="AQ73" s="191"/>
      <c r="AR73" s="186"/>
      <c r="AS73" s="186"/>
      <c r="AT73" s="191"/>
      <c r="AU73" s="186"/>
      <c r="AV73" s="186"/>
      <c r="AW73" s="191"/>
      <c r="AX73" s="187"/>
      <c r="AY73" s="187"/>
      <c r="AZ73" s="203"/>
      <c r="BA73" s="125"/>
      <c r="BB73" s="207"/>
      <c r="BD73" s="158" t="s">
        <v>56</v>
      </c>
      <c r="BE73" s="133">
        <f t="shared" ref="BE73:BP73" si="54">SUM(BE71:BE72)</f>
        <v>0</v>
      </c>
      <c r="BF73" s="133">
        <f t="shared" si="54"/>
        <v>0</v>
      </c>
      <c r="BG73" s="133">
        <f t="shared" si="54"/>
        <v>0</v>
      </c>
      <c r="BH73" s="133">
        <f t="shared" si="54"/>
        <v>0</v>
      </c>
      <c r="BI73" s="133">
        <f t="shared" si="54"/>
        <v>0</v>
      </c>
      <c r="BJ73" s="133">
        <f t="shared" si="54"/>
        <v>0</v>
      </c>
      <c r="BK73" s="133">
        <f t="shared" si="54"/>
        <v>0</v>
      </c>
      <c r="BL73" s="133">
        <f t="shared" si="54"/>
        <v>0</v>
      </c>
      <c r="BM73" s="133">
        <f t="shared" si="54"/>
        <v>0</v>
      </c>
      <c r="BN73" s="133">
        <f t="shared" si="54"/>
        <v>0</v>
      </c>
      <c r="BO73" s="133">
        <f t="shared" si="54"/>
        <v>0</v>
      </c>
      <c r="BP73" s="133">
        <f t="shared" si="54"/>
        <v>0</v>
      </c>
    </row>
    <row r="74" spans="24:68" ht="18.95" customHeight="1" x14ac:dyDescent="0.15">
      <c r="X74" s="149" t="str">
        <f t="shared" si="50"/>
        <v>６</v>
      </c>
      <c r="Y74" s="155" t="str">
        <f t="shared" si="50"/>
        <v/>
      </c>
      <c r="Z74" s="167" t="str">
        <f>IF(BE112="","",ROUND(IF(BE$119&lt;ROUNDDOWN(税率・条件!$C$18/12,0),BE111+BE112,BE111*(((税率・条件!$C$18/12)-BE$118)/BE$117)+BE112),0))</f>
        <v/>
      </c>
      <c r="AA74" s="174" t="str">
        <f>IF(BF112="","",ROUND(IF(BF$119&lt;ROUNDDOWN(税率・条件!$C$18/12,0),BF111+BF112,BF111*(((税率・条件!$C$18/12)-BF$118)/BF$117)+BF112),0))</f>
        <v/>
      </c>
      <c r="AB74" s="174" t="str">
        <f>IF(BG112="","",ROUND(IF(BG$119&lt;ROUNDDOWN(税率・条件!$C$18/12,0),BG111+BG112,BG111*(((税率・条件!$C$18/12)-BG$118)/BG$117)+BG112),0))</f>
        <v/>
      </c>
      <c r="AC74" s="174" t="str">
        <f>IF(BH112="","",ROUND(IF(BH$119&lt;ROUNDDOWN(税率・条件!$C$18/12,0),BH111+BH112,BH111*(((税率・条件!$C$18/12)-BH$118)/BH$117)+BH112),0))</f>
        <v/>
      </c>
      <c r="AD74" s="174" t="str">
        <f>IF(BI112="","",ROUND(IF(BI$119&lt;ROUNDDOWN(税率・条件!$C$18/12,0),BI111+BI112,BI111*(((税率・条件!$C$18/12)-BI$118)/BI$117)+BI112),0))</f>
        <v/>
      </c>
      <c r="AE74" s="174" t="str">
        <f>IF(BJ112="","",ROUND(IF(BJ$119&lt;ROUNDDOWN(税率・条件!$C$18/12,0),BJ111+BJ112,BJ111*(((税率・条件!$C$18/12)-BJ$118)/BJ$117)+BJ112),0))</f>
        <v/>
      </c>
      <c r="AF74" s="174" t="str">
        <f>IF(BK112="","",ROUND(IF(BK$119&lt;ROUNDDOWN(税率・条件!$C$18/12,0),BK111+BK112,BK111*(((税率・条件!$C$18/12)-BK$118)/BK$117)+BK112),0))</f>
        <v/>
      </c>
      <c r="AG74" s="174" t="str">
        <f>IF(BL112="","",ROUND(IF(BL$119&lt;ROUNDDOWN(税率・条件!$C$18/12,0),BL111+BL112,BL111*(((税率・条件!$C$18/12)-BL$118)/BL$117)+BL112),0))</f>
        <v/>
      </c>
      <c r="AH74" s="174" t="str">
        <f>IF(BM112="","",ROUND(IF(BM$119&lt;ROUNDDOWN(税率・条件!$C$18/12,0),BM111+BM112,BM111*(((税率・条件!$C$18/12)-BM$118)/BM$117)+BM112),0))</f>
        <v/>
      </c>
      <c r="AI74" s="174" t="str">
        <f>IF(BN112="","",ROUND(IF(BN$119&lt;ROUNDDOWN(税率・条件!$C$18/12,0),BN111+BN112,BN111*(((税率・条件!$C$18/12)-BN$118)/BN$117)+BN112),0))</f>
        <v/>
      </c>
      <c r="AJ74" s="174" t="str">
        <f>IF(BO112="","",ROUND(IF(BO$119&lt;ROUNDDOWN(税率・条件!$C$18/12,0),BO111+BO112,BO111*(((税率・条件!$C$18/12)-BO$118)/BO$117)+BO112),0))</f>
        <v/>
      </c>
      <c r="AK74" s="177" t="str">
        <f>IF(BP112="","",ROUND(IF(BP$119&lt;ROUNDDOWN(税率・条件!$C$18/12,0),BP111+BP112,BP111*(((税率・条件!$C$18/12)-BP$118)/BP$117)+BP112),0))</f>
        <v/>
      </c>
      <c r="AL74" s="183" t="str">
        <f>IF(AH14="","",SUM(Z74:AK74))</f>
        <v/>
      </c>
      <c r="AM74" s="187"/>
      <c r="AN74" s="191"/>
      <c r="AO74" s="186"/>
      <c r="AP74" s="186"/>
      <c r="AQ74" s="191"/>
      <c r="AR74" s="186"/>
      <c r="AS74" s="186"/>
      <c r="AT74" s="191"/>
      <c r="AU74" s="186"/>
      <c r="AV74" s="186"/>
      <c r="AW74" s="191"/>
      <c r="AX74" s="187"/>
      <c r="AY74" s="187"/>
      <c r="AZ74" s="203"/>
      <c r="BA74" s="125"/>
      <c r="BB74" s="207"/>
    </row>
    <row r="75" spans="24:68" ht="18.95" customHeight="1" x14ac:dyDescent="0.15">
      <c r="X75" s="149" t="str">
        <f t="shared" si="50"/>
        <v>７</v>
      </c>
      <c r="Y75" s="155" t="str">
        <f t="shared" si="50"/>
        <v/>
      </c>
      <c r="Z75" s="167" t="str">
        <f>IF(BE114="","",ROUND(IF(BE$119&lt;ROUNDDOWN(税率・条件!$C$18/12,0),BE113+BE114,BE113*(((税率・条件!$C$18/12)-BE$118)/BE$117)+BE114),0))</f>
        <v/>
      </c>
      <c r="AA75" s="174" t="str">
        <f>IF(BF114="","",ROUND(IF(BF$119&lt;ROUNDDOWN(税率・条件!$C$18/12,0),BF113+BF114,BF113*(((税率・条件!$C$18/12)-BF$118)/BF$117)+BF114),0))</f>
        <v/>
      </c>
      <c r="AB75" s="174" t="str">
        <f>IF(BG114="","",ROUND(IF(BG$119&lt;ROUNDDOWN(税率・条件!$C$18/12,0),BG113+BG114,BG113*(((税率・条件!$C$18/12)-BG$118)/BG$117)+BG114),0))</f>
        <v/>
      </c>
      <c r="AC75" s="174" t="str">
        <f>IF(BH114="","",ROUND(IF(BH$119&lt;ROUNDDOWN(税率・条件!$C$18/12,0),BH113+BH114,BH113*(((税率・条件!$C$18/12)-BH$118)/BH$117)+BH114),0))</f>
        <v/>
      </c>
      <c r="AD75" s="174" t="str">
        <f>IF(BI114="","",ROUND(IF(BI$119&lt;ROUNDDOWN(税率・条件!$C$18/12,0),BI113+BI114,BI113*(((税率・条件!$C$18/12)-BI$118)/BI$117)+BI114),0))</f>
        <v/>
      </c>
      <c r="AE75" s="174" t="str">
        <f>IF(BJ114="","",ROUND(IF(BJ$119&lt;ROUNDDOWN(税率・条件!$C$18/12,0),BJ113+BJ114,BJ113*(((税率・条件!$C$18/12)-BJ$118)/BJ$117)+BJ114),0))</f>
        <v/>
      </c>
      <c r="AF75" s="174" t="str">
        <f>IF(BK114="","",ROUND(IF(BK$119&lt;ROUNDDOWN(税率・条件!$C$18/12,0),BK113+BK114,BK113*(((税率・条件!$C$18/12)-BK$118)/BK$117)+BK114),0))</f>
        <v/>
      </c>
      <c r="AG75" s="174" t="str">
        <f>IF(BL114="","",ROUND(IF(BL$119&lt;ROUNDDOWN(税率・条件!$C$18/12,0),BL113+BL114,BL113*(((税率・条件!$C$18/12)-BL$118)/BL$117)+BL114),0))</f>
        <v/>
      </c>
      <c r="AH75" s="174" t="str">
        <f>IF(BM114="","",ROUND(IF(BM$119&lt;ROUNDDOWN(税率・条件!$C$18/12,0),BM113+BM114,BM113*(((税率・条件!$C$18/12)-BM$118)/BM$117)+BM114),0))</f>
        <v/>
      </c>
      <c r="AI75" s="174" t="str">
        <f>IF(BN114="","",ROUND(IF(BN$119&lt;ROUNDDOWN(税率・条件!$C$18/12,0),BN113+BN114,BN113*(((税率・条件!$C$18/12)-BN$118)/BN$117)+BN114),0))</f>
        <v/>
      </c>
      <c r="AJ75" s="174" t="str">
        <f>IF(BO114="","",ROUND(IF(BO$119&lt;ROUNDDOWN(税率・条件!$C$18/12,0),BO113+BO114,BO113*(((税率・条件!$C$18/12)-BO$118)/BO$117)+BO114),0))</f>
        <v/>
      </c>
      <c r="AK75" s="177" t="str">
        <f>IF(BP114="","",ROUND(IF(BP$119&lt;ROUNDDOWN(税率・条件!$C$18/12,0),BP113+BP114,BP113*(((税率・条件!$C$18/12)-BP$118)/BP$117)+BP114),0))</f>
        <v/>
      </c>
      <c r="AL75" s="183" t="str">
        <f>IF(AH16="","",SUM(Z75:AK75))</f>
        <v/>
      </c>
      <c r="AM75" s="187"/>
      <c r="AN75" s="191"/>
      <c r="AO75" s="186"/>
      <c r="AP75" s="186"/>
      <c r="AQ75" s="191"/>
      <c r="AR75" s="186"/>
      <c r="AS75" s="186"/>
      <c r="AT75" s="191"/>
      <c r="AU75" s="186"/>
      <c r="AV75" s="186"/>
      <c r="AW75" s="191"/>
      <c r="AX75" s="187"/>
      <c r="AY75" s="187"/>
      <c r="AZ75" s="203"/>
      <c r="BA75" s="125"/>
      <c r="BB75" s="207"/>
    </row>
    <row r="76" spans="24:68" ht="18.95" customHeight="1" x14ac:dyDescent="0.15">
      <c r="X76" s="152" t="str">
        <f t="shared" si="50"/>
        <v>８</v>
      </c>
      <c r="Y76" s="159" t="str">
        <f t="shared" si="50"/>
        <v/>
      </c>
      <c r="Z76" s="167" t="str">
        <f>IF(BE116="","",ROUND(IF(BE$119&lt;ROUNDDOWN(税率・条件!$C$18/12,0),BE115+BE116,BE115*(((税率・条件!$C$18/12)-BE$118)/BE$117)+BE116),0))</f>
        <v/>
      </c>
      <c r="AA76" s="174" t="str">
        <f>IF(BF116="","",ROUND(IF(BF$119&lt;ROUNDDOWN(税率・条件!$C$18/12,0),BF115+BF116,BF115*(((税率・条件!$C$18/12)-BF$118)/BF$117)+BF116),0))</f>
        <v/>
      </c>
      <c r="AB76" s="174" t="str">
        <f>IF(BG116="","",ROUND(IF(BG$119&lt;ROUNDDOWN(税率・条件!$C$18/12,0),BG115+BG116,BG115*(((税率・条件!$C$18/12)-BG$118)/BG$117)+BG116),0))</f>
        <v/>
      </c>
      <c r="AC76" s="174" t="str">
        <f>IF(BH116="","",ROUND(IF(BH$119&lt;ROUNDDOWN(税率・条件!$C$18/12,0),BH115+BH116,BH115*(((税率・条件!$C$18/12)-BH$118)/BH$117)+BH116),0))</f>
        <v/>
      </c>
      <c r="AD76" s="174" t="str">
        <f>IF(BI116="","",ROUND(IF(BI$119&lt;ROUNDDOWN(税率・条件!$C$18/12,0),BI115+BI116,BI115*(((税率・条件!$C$18/12)-BI$118)/BI$117)+BI116),0))</f>
        <v/>
      </c>
      <c r="AE76" s="174" t="str">
        <f>IF(BJ116="","",ROUND(IF(BJ$119&lt;ROUNDDOWN(税率・条件!$C$18/12,0),BJ115+BJ116,BJ115*(((税率・条件!$C$18/12)-BJ$118)/BJ$117)+BJ116),0))</f>
        <v/>
      </c>
      <c r="AF76" s="174" t="str">
        <f>IF(BK116="","",ROUND(IF(BK$119&lt;ROUNDDOWN(税率・条件!$C$18/12,0),BK115+BK116,BK115*(((税率・条件!$C$18/12)-BK$118)/BK$117)+BK116),0))</f>
        <v/>
      </c>
      <c r="AG76" s="174" t="str">
        <f>IF(BL116="","",ROUND(IF(BL$119&lt;ROUNDDOWN(税率・条件!$C$18/12,0),BL115+BL116,BL115*(((税率・条件!$C$18/12)-BL$118)/BL$117)+BL116),0))</f>
        <v/>
      </c>
      <c r="AH76" s="174" t="str">
        <f>IF(BM116="","",ROUND(IF(BM$119&lt;ROUNDDOWN(税率・条件!$C$18/12,0),BM115+BM116,BM115*(((税率・条件!$C$18/12)-BM$118)/BM$117)+BM116),0))</f>
        <v/>
      </c>
      <c r="AI76" s="180" t="str">
        <f>IF(BN116="","",ROUND(IF(BN$119&lt;ROUNDDOWN(税率・条件!$C$18/12,0),BN115+BN116,BN115*(((税率・条件!$C$18/12)-BN$118)/BN$117)+BN116),0))</f>
        <v/>
      </c>
      <c r="AJ76" s="180" t="str">
        <f>IF(BO116="","",ROUND(IF(BO$119&lt;ROUNDDOWN(税率・条件!$C$18/12,0),BO115+BO116,BO115*(((税率・条件!$C$18/12)-BO$118)/BO$117)+BO116),0))</f>
        <v/>
      </c>
      <c r="AK76" s="177" t="str">
        <f>IF(BP116="","",ROUND(IF(BP$119&lt;ROUNDDOWN(税率・条件!$C$18/12,0),BP115+BP116,BP115*(((税率・条件!$C$18/12)-BP$118)/BP$117)+BP116),0))</f>
        <v/>
      </c>
      <c r="AL76" s="183" t="str">
        <f>IF(AH18="","",SUM(Z76:AK76))</f>
        <v/>
      </c>
      <c r="AM76" s="187"/>
      <c r="AN76" s="191"/>
      <c r="AO76" s="186"/>
      <c r="AP76" s="186"/>
      <c r="AQ76" s="191"/>
      <c r="AR76" s="186"/>
      <c r="AS76" s="186"/>
      <c r="AT76" s="191"/>
      <c r="AU76" s="186"/>
      <c r="AV76" s="186"/>
      <c r="AW76" s="191"/>
      <c r="AX76" s="187"/>
      <c r="AY76" s="187"/>
      <c r="AZ76" s="203"/>
      <c r="BA76" s="125"/>
      <c r="BE76" s="1" t="s">
        <v>209</v>
      </c>
    </row>
    <row r="77" spans="24:68" ht="18.95" customHeight="1" x14ac:dyDescent="0.15">
      <c r="X77" s="343" t="s">
        <v>145</v>
      </c>
      <c r="Y77" s="344"/>
      <c r="Z77" s="168">
        <f t="shared" ref="Z77:AL77" si="55">SUM(Z69:Z76)</f>
        <v>0</v>
      </c>
      <c r="AA77" s="175">
        <f t="shared" si="55"/>
        <v>0</v>
      </c>
      <c r="AB77" s="175">
        <f t="shared" si="55"/>
        <v>0</v>
      </c>
      <c r="AC77" s="175">
        <f t="shared" si="55"/>
        <v>0</v>
      </c>
      <c r="AD77" s="175">
        <f t="shared" si="55"/>
        <v>0</v>
      </c>
      <c r="AE77" s="175">
        <f t="shared" si="55"/>
        <v>0</v>
      </c>
      <c r="AF77" s="175">
        <f t="shared" si="55"/>
        <v>0</v>
      </c>
      <c r="AG77" s="175">
        <f t="shared" si="55"/>
        <v>0</v>
      </c>
      <c r="AH77" s="175">
        <f t="shared" si="55"/>
        <v>0</v>
      </c>
      <c r="AI77" s="178">
        <f t="shared" si="55"/>
        <v>0</v>
      </c>
      <c r="AJ77" s="178">
        <f t="shared" si="55"/>
        <v>0</v>
      </c>
      <c r="AK77" s="181">
        <f t="shared" si="55"/>
        <v>0</v>
      </c>
      <c r="AL77" s="184">
        <f t="shared" si="55"/>
        <v>0</v>
      </c>
      <c r="AM77" s="187"/>
      <c r="AN77" s="191"/>
      <c r="AO77" s="187"/>
      <c r="AP77" s="187"/>
      <c r="AQ77" s="191"/>
      <c r="AR77" s="187"/>
      <c r="AS77" s="187"/>
      <c r="AT77" s="191"/>
      <c r="AU77" s="187"/>
      <c r="AV77" s="187"/>
      <c r="AW77" s="191"/>
      <c r="AX77" s="187"/>
      <c r="AY77" s="187"/>
      <c r="AZ77" s="203"/>
      <c r="BA77" s="125"/>
      <c r="BD77" s="212"/>
      <c r="BE77" s="109">
        <v>4</v>
      </c>
      <c r="BF77" s="109">
        <v>5</v>
      </c>
      <c r="BG77" s="109">
        <v>6</v>
      </c>
      <c r="BH77" s="109">
        <v>7</v>
      </c>
      <c r="BI77" s="109">
        <v>8</v>
      </c>
      <c r="BJ77" s="109">
        <v>9</v>
      </c>
      <c r="BK77" s="109">
        <v>10</v>
      </c>
      <c r="BL77" s="109">
        <v>11</v>
      </c>
      <c r="BM77" s="109">
        <v>12</v>
      </c>
      <c r="BN77" s="109">
        <v>1</v>
      </c>
      <c r="BO77" s="109">
        <v>2</v>
      </c>
      <c r="BP77" s="109">
        <v>3</v>
      </c>
    </row>
    <row r="78" spans="24:68" ht="18.95" customHeight="1" x14ac:dyDescent="0.15">
      <c r="Y78" s="160" t="s">
        <v>170</v>
      </c>
      <c r="Z78" s="169" t="str">
        <f>IF(BE$119&lt;ROUNDDOWN(税率・条件!$C$18/12,0),"","該当")</f>
        <v/>
      </c>
      <c r="AA78" s="169" t="str">
        <f>IF(BF$119&lt;ROUNDDOWN(税率・条件!$C$18/12,0),"","該当")</f>
        <v/>
      </c>
      <c r="AB78" s="169" t="str">
        <f>IF(BG$119&lt;ROUNDDOWN(税率・条件!$C$18/12,0),"","該当")</f>
        <v/>
      </c>
      <c r="AC78" s="169" t="str">
        <f>IF(BH$119&lt;ROUNDDOWN(税率・条件!$C$18/12,0),"","該当")</f>
        <v/>
      </c>
      <c r="AD78" s="169" t="str">
        <f>IF(BI$119&lt;ROUNDDOWN(税率・条件!$C$18/12,0),"","該当")</f>
        <v/>
      </c>
      <c r="AE78" s="169" t="str">
        <f>IF(BJ$119&lt;ROUNDDOWN(税率・条件!$C$18/12,0),"","該当")</f>
        <v/>
      </c>
      <c r="AF78" s="169" t="str">
        <f>IF(BK$119&lt;ROUNDDOWN(税率・条件!$C$18/12,0),"","該当")</f>
        <v/>
      </c>
      <c r="AG78" s="169" t="str">
        <f>IF(BL$119&lt;ROUNDDOWN(税率・条件!$C$18/12,0),"","該当")</f>
        <v/>
      </c>
      <c r="AH78" s="169" t="str">
        <f>IF(BM$119&lt;ROUNDDOWN(税率・条件!$C$18/12,0),"","該当")</f>
        <v/>
      </c>
      <c r="AI78" s="179" t="str">
        <f>IF(BN$119&lt;ROUNDDOWN(税率・条件!$C$18/12,0),"","該当")</f>
        <v/>
      </c>
      <c r="AJ78" s="179" t="str">
        <f>IF(BO$119&lt;ROUNDDOWN(税率・条件!$C$18/12,0),"","該当")</f>
        <v/>
      </c>
      <c r="AK78" s="179" t="str">
        <f>IF(BP$119&lt;ROUNDDOWN(税率・条件!$C$18/12,0),"","該当")</f>
        <v/>
      </c>
      <c r="AL78" s="169"/>
      <c r="AM78" s="169"/>
      <c r="AO78" s="197"/>
      <c r="AP78" s="197"/>
      <c r="AR78" s="197"/>
      <c r="AS78" s="197"/>
      <c r="AU78" s="197"/>
      <c r="AV78" s="197"/>
      <c r="AZ78" s="121"/>
      <c r="BA78" s="121"/>
      <c r="BD78" s="213" t="s">
        <v>153</v>
      </c>
      <c r="BE78" s="224" t="str">
        <f t="shared" ref="BE78:BP78" si="56">IF(AND(AO4="",AO20=1),0,IF(AO4="","",ROUND((SUM($Y4:$Z5)/12),0)))</f>
        <v/>
      </c>
      <c r="BF78" s="224" t="str">
        <f t="shared" si="56"/>
        <v/>
      </c>
      <c r="BG78" s="224" t="str">
        <f t="shared" si="56"/>
        <v/>
      </c>
      <c r="BH78" s="224" t="str">
        <f t="shared" si="56"/>
        <v/>
      </c>
      <c r="BI78" s="224" t="str">
        <f t="shared" si="56"/>
        <v/>
      </c>
      <c r="BJ78" s="224" t="str">
        <f t="shared" si="56"/>
        <v/>
      </c>
      <c r="BK78" s="224" t="str">
        <f t="shared" si="56"/>
        <v/>
      </c>
      <c r="BL78" s="224" t="str">
        <f t="shared" si="56"/>
        <v/>
      </c>
      <c r="BM78" s="224" t="str">
        <f t="shared" si="56"/>
        <v/>
      </c>
      <c r="BN78" s="224" t="str">
        <f t="shared" si="56"/>
        <v/>
      </c>
      <c r="BO78" s="224" t="str">
        <f t="shared" si="56"/>
        <v/>
      </c>
      <c r="BP78" s="224" t="str">
        <f t="shared" si="56"/>
        <v/>
      </c>
    </row>
    <row r="79" spans="24:68" ht="18.95" customHeight="1" x14ac:dyDescent="0.15">
      <c r="Y79" s="160"/>
      <c r="Z79" s="169"/>
      <c r="AA79" s="169"/>
      <c r="AB79" s="169"/>
      <c r="AC79" s="169"/>
      <c r="AD79" s="169"/>
      <c r="AE79" s="169"/>
      <c r="AF79" s="169"/>
      <c r="AG79" s="169"/>
      <c r="AH79" s="169"/>
      <c r="AI79" s="179"/>
      <c r="AJ79" s="179"/>
      <c r="AK79" s="179"/>
      <c r="AL79" s="169"/>
      <c r="AZ79" s="121"/>
      <c r="BA79" s="121"/>
      <c r="BD79" s="214" t="s">
        <v>154</v>
      </c>
      <c r="BE79" s="225" t="str">
        <f t="shared" ref="BE79:BP79" si="57">IF(AO4="",IF(AO20="","",ROUND(SUM($AB4:$AB5)/12,0)),ROUND(SUM($AA4:$AB5)/12,0))</f>
        <v/>
      </c>
      <c r="BF79" s="225" t="str">
        <f t="shared" si="57"/>
        <v/>
      </c>
      <c r="BG79" s="225" t="str">
        <f t="shared" si="57"/>
        <v/>
      </c>
      <c r="BH79" s="225" t="str">
        <f t="shared" si="57"/>
        <v/>
      </c>
      <c r="BI79" s="225" t="str">
        <f t="shared" si="57"/>
        <v/>
      </c>
      <c r="BJ79" s="225" t="str">
        <f t="shared" si="57"/>
        <v/>
      </c>
      <c r="BK79" s="225" t="str">
        <f t="shared" si="57"/>
        <v/>
      </c>
      <c r="BL79" s="225" t="str">
        <f t="shared" si="57"/>
        <v/>
      </c>
      <c r="BM79" s="225" t="str">
        <f t="shared" si="57"/>
        <v/>
      </c>
      <c r="BN79" s="225" t="str">
        <f t="shared" si="57"/>
        <v/>
      </c>
      <c r="BO79" s="225" t="str">
        <f t="shared" si="57"/>
        <v/>
      </c>
      <c r="BP79" s="225" t="str">
        <f t="shared" si="57"/>
        <v/>
      </c>
    </row>
    <row r="80" spans="24:68" ht="18.95" customHeight="1" x14ac:dyDescent="0.15">
      <c r="X80" s="1" t="str">
        <f>"子ども分各個人月別計（令和"&amp;DBCS(税率・条件!C1)&amp;"年度税率）"</f>
        <v>子ども分各個人月別計（令和８年度税率）</v>
      </c>
      <c r="AD80" s="1" t="s">
        <v>211</v>
      </c>
      <c r="AM80" s="187"/>
      <c r="AN80" s="191"/>
      <c r="AO80" s="186"/>
      <c r="AP80" s="186"/>
      <c r="AQ80" s="191"/>
      <c r="AR80" s="186"/>
      <c r="AS80" s="186"/>
      <c r="AT80" s="191"/>
      <c r="AU80" s="186"/>
      <c r="AV80" s="186"/>
      <c r="AW80" s="191"/>
      <c r="AX80" s="186"/>
      <c r="AY80" s="186"/>
      <c r="AZ80" s="203"/>
      <c r="BA80" s="125"/>
      <c r="BD80" s="213" t="s">
        <v>76</v>
      </c>
      <c r="BE80" s="224" t="str">
        <f t="shared" ref="BE80:BP80" si="58">IF(AO6="","",ROUND((SUM($Y6:$Z7)/12),0))</f>
        <v/>
      </c>
      <c r="BF80" s="224" t="str">
        <f t="shared" si="58"/>
        <v/>
      </c>
      <c r="BG80" s="224" t="str">
        <f t="shared" si="58"/>
        <v/>
      </c>
      <c r="BH80" s="224" t="str">
        <f t="shared" si="58"/>
        <v/>
      </c>
      <c r="BI80" s="224" t="str">
        <f t="shared" si="58"/>
        <v/>
      </c>
      <c r="BJ80" s="224" t="str">
        <f t="shared" si="58"/>
        <v/>
      </c>
      <c r="BK80" s="224" t="str">
        <f t="shared" si="58"/>
        <v/>
      </c>
      <c r="BL80" s="224" t="str">
        <f t="shared" si="58"/>
        <v/>
      </c>
      <c r="BM80" s="224" t="str">
        <f t="shared" si="58"/>
        <v/>
      </c>
      <c r="BN80" s="224" t="str">
        <f t="shared" si="58"/>
        <v/>
      </c>
      <c r="BO80" s="224" t="str">
        <f t="shared" si="58"/>
        <v/>
      </c>
      <c r="BP80" s="224" t="str">
        <f t="shared" si="58"/>
        <v/>
      </c>
    </row>
    <row r="81" spans="24:68" ht="18.95" customHeight="1" x14ac:dyDescent="0.15">
      <c r="X81" s="350"/>
      <c r="Y81" s="352" t="s">
        <v>72</v>
      </c>
      <c r="Z81" s="297" t="s">
        <v>70</v>
      </c>
      <c r="AA81" s="337"/>
      <c r="AB81" s="337"/>
      <c r="AC81" s="337"/>
      <c r="AD81" s="337"/>
      <c r="AE81" s="337"/>
      <c r="AF81" s="337"/>
      <c r="AG81" s="337"/>
      <c r="AH81" s="337"/>
      <c r="AI81" s="337"/>
      <c r="AJ81" s="337"/>
      <c r="AK81" s="337"/>
      <c r="AL81" s="299"/>
      <c r="BD81" s="214" t="s">
        <v>155</v>
      </c>
      <c r="BE81" s="226" t="str">
        <f t="shared" ref="BE81:BP81" si="59">IF(AO6="","",ROUND(SUM($AA6:$AB7)/12,0))</f>
        <v/>
      </c>
      <c r="BF81" s="226" t="str">
        <f t="shared" si="59"/>
        <v/>
      </c>
      <c r="BG81" s="226" t="str">
        <f t="shared" si="59"/>
        <v/>
      </c>
      <c r="BH81" s="226" t="str">
        <f t="shared" si="59"/>
        <v/>
      </c>
      <c r="BI81" s="226" t="str">
        <f t="shared" si="59"/>
        <v/>
      </c>
      <c r="BJ81" s="226" t="str">
        <f t="shared" si="59"/>
        <v/>
      </c>
      <c r="BK81" s="226" t="str">
        <f t="shared" si="59"/>
        <v/>
      </c>
      <c r="BL81" s="226" t="str">
        <f t="shared" si="59"/>
        <v/>
      </c>
      <c r="BM81" s="226" t="str">
        <f t="shared" si="59"/>
        <v/>
      </c>
      <c r="BN81" s="226" t="str">
        <f t="shared" si="59"/>
        <v/>
      </c>
      <c r="BO81" s="226" t="str">
        <f t="shared" si="59"/>
        <v/>
      </c>
      <c r="BP81" s="226" t="str">
        <f t="shared" si="59"/>
        <v/>
      </c>
    </row>
    <row r="82" spans="24:68" ht="18.95" customHeight="1" x14ac:dyDescent="0.15">
      <c r="X82" s="351"/>
      <c r="Y82" s="353"/>
      <c r="Z82" s="166" t="s">
        <v>124</v>
      </c>
      <c r="AA82" s="173" t="s">
        <v>105</v>
      </c>
      <c r="AB82" s="173" t="s">
        <v>138</v>
      </c>
      <c r="AC82" s="173" t="s">
        <v>139</v>
      </c>
      <c r="AD82" s="173" t="s">
        <v>112</v>
      </c>
      <c r="AE82" s="173" t="s">
        <v>63</v>
      </c>
      <c r="AF82" s="173" t="s">
        <v>129</v>
      </c>
      <c r="AG82" s="173" t="s">
        <v>61</v>
      </c>
      <c r="AH82" s="173" t="s">
        <v>140</v>
      </c>
      <c r="AI82" s="176" t="s">
        <v>141</v>
      </c>
      <c r="AJ82" s="176" t="s">
        <v>142</v>
      </c>
      <c r="AK82" s="176" t="s">
        <v>143</v>
      </c>
      <c r="AL82" s="182" t="s">
        <v>56</v>
      </c>
      <c r="BD82" s="213" t="s">
        <v>157</v>
      </c>
      <c r="BE82" s="224" t="str">
        <f t="shared" ref="BE82:BP82" si="60">IF(AO8="","",ROUND((SUM($Y8:$Z9)/12),0))</f>
        <v/>
      </c>
      <c r="BF82" s="224" t="str">
        <f t="shared" si="60"/>
        <v/>
      </c>
      <c r="BG82" s="224" t="str">
        <f t="shared" si="60"/>
        <v/>
      </c>
      <c r="BH82" s="224" t="str">
        <f t="shared" si="60"/>
        <v/>
      </c>
      <c r="BI82" s="224" t="str">
        <f t="shared" si="60"/>
        <v/>
      </c>
      <c r="BJ82" s="224" t="str">
        <f t="shared" si="60"/>
        <v/>
      </c>
      <c r="BK82" s="224" t="str">
        <f t="shared" si="60"/>
        <v/>
      </c>
      <c r="BL82" s="224" t="str">
        <f t="shared" si="60"/>
        <v/>
      </c>
      <c r="BM82" s="224" t="str">
        <f t="shared" si="60"/>
        <v/>
      </c>
      <c r="BN82" s="224" t="str">
        <f t="shared" si="60"/>
        <v/>
      </c>
      <c r="BO82" s="224" t="str">
        <f t="shared" si="60"/>
        <v/>
      </c>
      <c r="BP82" s="224" t="str">
        <f t="shared" si="60"/>
        <v/>
      </c>
    </row>
    <row r="83" spans="24:68" ht="18.95" customHeight="1" x14ac:dyDescent="0.15">
      <c r="X83" s="149" t="str">
        <f t="shared" ref="X83:Y90" si="61">X69</f>
        <v>世帯主</v>
      </c>
      <c r="Y83" s="155" t="str">
        <f t="shared" si="61"/>
        <v/>
      </c>
      <c r="Z83" s="167" t="str">
        <f>IF(BE125="","",ROUND(IF(BE$142&lt;ROUNDDOWN(税率・条件!$C$23/12,0),BE124+BE125,BE124*(((税率・条件!$C$23/12)-BE$141)/BE$140)+BE125),0))</f>
        <v/>
      </c>
      <c r="AA83" s="174" t="str">
        <f>IF(BF125="","",ROUND(IF(BF$142&lt;ROUNDDOWN(税率・条件!$C$23/12,0),BF124+BF125,BF124*(((税率・条件!$C$23/12)-BF$141)/BF$140)+BF125),0))</f>
        <v/>
      </c>
      <c r="AB83" s="174" t="str">
        <f>IF(BG125="","",ROUND(IF(BG$142&lt;ROUNDDOWN(税率・条件!$C$23/12,0),BG124+BG125,BG124*(((税率・条件!$C$23/12)-BG$141)/BG$140)+BG125),0))</f>
        <v/>
      </c>
      <c r="AC83" s="174" t="str">
        <f>IF(BH125="","",ROUND(IF(BH$142&lt;ROUNDDOWN(税率・条件!$C$23/12,0),BH124+BH125,BH124*(((税率・条件!$C$23/12)-BH$141)/BH$140)+BH125),0))</f>
        <v/>
      </c>
      <c r="AD83" s="174" t="str">
        <f>IF(BI125="","",ROUND(IF(BI$142&lt;ROUNDDOWN(税率・条件!$C$23/12,0),BI124+BI125,BI124*(((税率・条件!$C$23/12)-BI$141)/BI$140)+BI125),0))</f>
        <v/>
      </c>
      <c r="AE83" s="174" t="str">
        <f>IF(BJ125="","",ROUND(IF(BJ$142&lt;ROUNDDOWN(税率・条件!$C$23/12,0),BJ124+BJ125,BJ124*(((税率・条件!$C$23/12)-BJ$141)/BJ$140)+BJ125),0))</f>
        <v/>
      </c>
      <c r="AF83" s="174" t="str">
        <f>IF(BK125="","",ROUND(IF(BK$142&lt;ROUNDDOWN(税率・条件!$C$23/12,0),BK124+BK125,BK124*(((税率・条件!$C$23/12)-BK$141)/BK$140)+BK125),0))</f>
        <v/>
      </c>
      <c r="AG83" s="174" t="str">
        <f>IF(BL125="","",ROUND(IF(BL$142&lt;ROUNDDOWN(税率・条件!$C$23/12,0),BL124+BL125,BL124*(((税率・条件!$C$23/12)-BL$141)/BL$140)+BL125),0))</f>
        <v/>
      </c>
      <c r="AH83" s="174" t="str">
        <f>IF(BM125="","",ROUND(IF(BM$142&lt;ROUNDDOWN(税率・条件!$C$23/12,0),BM124+BM125,BM124*(((税率・条件!$C$23/12)-BM$141)/BM$140)+BM125),0))</f>
        <v/>
      </c>
      <c r="AI83" s="174" t="str">
        <f>IF(BN125="","",ROUND(IF(BN$142&lt;ROUNDDOWN(税率・条件!$C$23/12,0),BN124+BN125,BN124*(((税率・条件!$C$23/12)-BN$141)/BN$140)+BN125),0))</f>
        <v/>
      </c>
      <c r="AJ83" s="174" t="str">
        <f>IF(BO125="","",ROUND(IF(BO$142&lt;ROUNDDOWN(税率・条件!$C$23/12,0),BO124+BO125,BO124*(((税率・条件!$C$23/12)-BO$141)/BO$140)+BO125),0))</f>
        <v/>
      </c>
      <c r="AK83" s="177" t="str">
        <f>IF(BP125="","",ROUND(IF(BP$142&lt;ROUNDDOWN(税率・条件!$C$23/12,0),BP124+BP125,BP124*(((税率・条件!$C$23/12)-BP$141)/BP$140)+BP125),0))</f>
        <v/>
      </c>
      <c r="AL83" s="183" t="str">
        <f>IF(AM4="","",SUM(Z83:AK83))</f>
        <v/>
      </c>
      <c r="BD83" s="214" t="s">
        <v>158</v>
      </c>
      <c r="BE83" s="226" t="str">
        <f t="shared" ref="BE83:BP83" si="62">IF(AO8="","",ROUND(SUM($AA8:$AB9)/12,0))</f>
        <v/>
      </c>
      <c r="BF83" s="226" t="str">
        <f t="shared" si="62"/>
        <v/>
      </c>
      <c r="BG83" s="226" t="str">
        <f t="shared" si="62"/>
        <v/>
      </c>
      <c r="BH83" s="226" t="str">
        <f t="shared" si="62"/>
        <v/>
      </c>
      <c r="BI83" s="226" t="str">
        <f t="shared" si="62"/>
        <v/>
      </c>
      <c r="BJ83" s="226" t="str">
        <f t="shared" si="62"/>
        <v/>
      </c>
      <c r="BK83" s="226" t="str">
        <f t="shared" si="62"/>
        <v/>
      </c>
      <c r="BL83" s="226" t="str">
        <f t="shared" si="62"/>
        <v/>
      </c>
      <c r="BM83" s="226" t="str">
        <f t="shared" si="62"/>
        <v/>
      </c>
      <c r="BN83" s="226" t="str">
        <f t="shared" si="62"/>
        <v/>
      </c>
      <c r="BO83" s="226" t="str">
        <f t="shared" si="62"/>
        <v/>
      </c>
      <c r="BP83" s="226" t="str">
        <f t="shared" si="62"/>
        <v/>
      </c>
    </row>
    <row r="84" spans="24:68" ht="18.95" customHeight="1" x14ac:dyDescent="0.15">
      <c r="X84" s="149" t="str">
        <f t="shared" si="61"/>
        <v>２</v>
      </c>
      <c r="Y84" s="155" t="str">
        <f t="shared" si="61"/>
        <v/>
      </c>
      <c r="Z84" s="167" t="str">
        <f>IF(BE127="","",ROUND(IF(BE$142&lt;ROUNDDOWN(税率・条件!$C$23/12,0),BE126+BE127,BE126*(((税率・条件!$C$23/12)-BE$141)/BE$140)+BE127),0))</f>
        <v/>
      </c>
      <c r="AA84" s="174" t="str">
        <f>IF(BF127="","",ROUND(IF(BF$142&lt;ROUNDDOWN(税率・条件!$C$23/12,0),BF126+BF127,BF126*(((税率・条件!$C$23/12)-BF$141)/BF$140)+BF127),0))</f>
        <v/>
      </c>
      <c r="AB84" s="174" t="str">
        <f>IF(BG127="","",ROUND(IF(BG$142&lt;ROUNDDOWN(税率・条件!$C$23/12,0),BG126+BG127,BG126*(((税率・条件!$C$23/12)-BG$141)/BG$140)+BG127),0))</f>
        <v/>
      </c>
      <c r="AC84" s="174" t="str">
        <f>IF(BH127="","",ROUND(IF(BH$142&lt;ROUNDDOWN(税率・条件!$C$23/12,0),BH126+BH127,BH126*(((税率・条件!$C$23/12)-BH$141)/BH$140)+BH127),0))</f>
        <v/>
      </c>
      <c r="AD84" s="174" t="str">
        <f>IF(BI127="","",ROUND(IF(BI$142&lt;ROUNDDOWN(税率・条件!$C$23/12,0),BI126+BI127,BI126*(((税率・条件!$C$23/12)-BI$141)/BI$140)+BI127),0))</f>
        <v/>
      </c>
      <c r="AE84" s="174" t="str">
        <f>IF(BJ127="","",ROUND(IF(BJ$142&lt;ROUNDDOWN(税率・条件!$C$23/12,0),BJ126+BJ127,BJ126*(((税率・条件!$C$23/12)-BJ$141)/BJ$140)+BJ127),0))</f>
        <v/>
      </c>
      <c r="AF84" s="174" t="str">
        <f>IF(BK127="","",ROUND(IF(BK$142&lt;ROUNDDOWN(税率・条件!$C$23/12,0),BK126+BK127,BK126*(((税率・条件!$C$23/12)-BK$141)/BK$140)+BK127),0))</f>
        <v/>
      </c>
      <c r="AG84" s="174" t="str">
        <f>IF(BL127="","",ROUND(IF(BL$142&lt;ROUNDDOWN(税率・条件!$C$23/12,0),BL126+BL127,BL126*(((税率・条件!$C$23/12)-BL$141)/BL$140)+BL127),0))</f>
        <v/>
      </c>
      <c r="AH84" s="174" t="str">
        <f>IF(BM127="","",ROUND(IF(BM$142&lt;ROUNDDOWN(税率・条件!$C$23/12,0),BM126+BM127,BM126*(((税率・条件!$C$23/12)-BM$141)/BM$140)+BM127),0))</f>
        <v/>
      </c>
      <c r="AI84" s="174" t="str">
        <f>IF(BN127="","",ROUND(IF(BN$142&lt;ROUNDDOWN(税率・条件!$C$23/12,0),BN126+BN127,BN126*(((税率・条件!$C$23/12)-BN$141)/BN$140)+BN127),0))</f>
        <v/>
      </c>
      <c r="AJ84" s="174" t="str">
        <f>IF(BO127="","",ROUND(IF(BO$142&lt;ROUNDDOWN(税率・条件!$C$23/12,0),BO126+BO127,BO126*(((税率・条件!$C$23/12)-BO$141)/BO$140)+BO127),0))</f>
        <v/>
      </c>
      <c r="AK84" s="177" t="str">
        <f>IF(BP127="","",ROUND(IF(BP$142&lt;ROUNDDOWN(税率・条件!$C$23/12,0),BP126+BP127,BP126*(((税率・条件!$C$23/12)-BP$141)/BP$140)+BP127),0))</f>
        <v/>
      </c>
      <c r="AL84" s="183" t="str">
        <f>IF(AM6="","",SUM(Z84:AK84))</f>
        <v/>
      </c>
      <c r="BD84" s="213" t="s">
        <v>159</v>
      </c>
      <c r="BE84" s="224" t="str">
        <f t="shared" ref="BE84:BP84" si="63">IF(AO10="","",ROUND((SUM($Y10:$Z11)/12),0))</f>
        <v/>
      </c>
      <c r="BF84" s="224" t="str">
        <f t="shared" si="63"/>
        <v/>
      </c>
      <c r="BG84" s="224" t="str">
        <f t="shared" si="63"/>
        <v/>
      </c>
      <c r="BH84" s="224" t="str">
        <f t="shared" si="63"/>
        <v/>
      </c>
      <c r="BI84" s="224" t="str">
        <f t="shared" si="63"/>
        <v/>
      </c>
      <c r="BJ84" s="224" t="str">
        <f t="shared" si="63"/>
        <v/>
      </c>
      <c r="BK84" s="224" t="str">
        <f t="shared" si="63"/>
        <v/>
      </c>
      <c r="BL84" s="224" t="str">
        <f t="shared" si="63"/>
        <v/>
      </c>
      <c r="BM84" s="224" t="str">
        <f t="shared" si="63"/>
        <v/>
      </c>
      <c r="BN84" s="224" t="str">
        <f t="shared" si="63"/>
        <v/>
      </c>
      <c r="BO84" s="224" t="str">
        <f t="shared" si="63"/>
        <v/>
      </c>
      <c r="BP84" s="224" t="str">
        <f t="shared" si="63"/>
        <v/>
      </c>
    </row>
    <row r="85" spans="24:68" ht="18.95" customHeight="1" x14ac:dyDescent="0.15">
      <c r="X85" s="149" t="str">
        <f t="shared" si="61"/>
        <v>３</v>
      </c>
      <c r="Y85" s="155" t="str">
        <f t="shared" si="61"/>
        <v/>
      </c>
      <c r="Z85" s="167" t="str">
        <f>IF(BE129="","",ROUND(IF(BE$142&lt;ROUNDDOWN(税率・条件!$C$23/12,0),BE128+BE129,BE128*(((税率・条件!$C$23/12)-BE$141)/BE$140)+BE129),0))</f>
        <v/>
      </c>
      <c r="AA85" s="174" t="str">
        <f>IF(BF129="","",ROUND(IF(BF$142&lt;ROUNDDOWN(税率・条件!$C$23/12,0),BF128+BF129,BF128*(((税率・条件!$C$23/12)-BF$141)/BF$140)+BF129),0))</f>
        <v/>
      </c>
      <c r="AB85" s="174" t="str">
        <f>IF(BG129="","",ROUND(IF(BG$142&lt;ROUNDDOWN(税率・条件!$C$23/12,0),BG128+BG129,BG128*(((税率・条件!$C$23/12)-BG$141)/BG$140)+BG129),0))</f>
        <v/>
      </c>
      <c r="AC85" s="174" t="str">
        <f>IF(BH129="","",ROUND(IF(BH$142&lt;ROUNDDOWN(税率・条件!$C$23/12,0),BH128+BH129,BH128*(((税率・条件!$C$23/12)-BH$141)/BH$140)+BH129),0))</f>
        <v/>
      </c>
      <c r="AD85" s="174" t="str">
        <f>IF(BI129="","",ROUND(IF(BI$142&lt;ROUNDDOWN(税率・条件!$C$23/12,0),BI128+BI129,BI128*(((税率・条件!$C$23/12)-BI$141)/BI$140)+BI129),0))</f>
        <v/>
      </c>
      <c r="AE85" s="174" t="str">
        <f>IF(BJ129="","",ROUND(IF(BJ$142&lt;ROUNDDOWN(税率・条件!$C$23/12,0),BJ128+BJ129,BJ128*(((税率・条件!$C$23/12)-BJ$141)/BJ$140)+BJ129),0))</f>
        <v/>
      </c>
      <c r="AF85" s="174" t="str">
        <f>IF(BK129="","",ROUND(IF(BK$142&lt;ROUNDDOWN(税率・条件!$C$23/12,0),BK128+BK129,BK128*(((税率・条件!$C$23/12)-BK$141)/BK$140)+BK129),0))</f>
        <v/>
      </c>
      <c r="AG85" s="174" t="str">
        <f>IF(BL129="","",ROUND(IF(BL$142&lt;ROUNDDOWN(税率・条件!$C$23/12,0),BL128+BL129,BL128*(((税率・条件!$C$23/12)-BL$141)/BL$140)+BL129),0))</f>
        <v/>
      </c>
      <c r="AH85" s="174" t="str">
        <f>IF(BM129="","",ROUND(IF(BM$142&lt;ROUNDDOWN(税率・条件!$C$23/12,0),BM128+BM129,BM128*(((税率・条件!$C$23/12)-BM$141)/BM$140)+BM129),0))</f>
        <v/>
      </c>
      <c r="AI85" s="174" t="str">
        <f>IF(BN129="","",ROUND(IF(BN$142&lt;ROUNDDOWN(税率・条件!$C$23/12,0),BN128+BN129,BN128*(((税率・条件!$C$23/12)-BN$141)/BN$140)+BN129),0))</f>
        <v/>
      </c>
      <c r="AJ85" s="174" t="str">
        <f>IF(BO129="","",ROUND(IF(BO$142&lt;ROUNDDOWN(税率・条件!$C$23/12,0),BO128+BO129,BO128*(((税率・条件!$C$23/12)-BO$141)/BO$140)+BO129),0))</f>
        <v/>
      </c>
      <c r="AK85" s="177" t="str">
        <f>IF(BP129="","",ROUND(IF(BP$142&lt;ROUNDDOWN(税率・条件!$C$23/12,0),BP128+BP129,BP128*(((税率・条件!$C$23/12)-BP$141)/BP$140)+BP129),0))</f>
        <v/>
      </c>
      <c r="AL85" s="183" t="str">
        <f>IF(AM8="","",SUM(Z85:AK85))</f>
        <v/>
      </c>
      <c r="BD85" s="214" t="s">
        <v>65</v>
      </c>
      <c r="BE85" s="226" t="str">
        <f t="shared" ref="BE85:BP85" si="64">IF(AO10="","",ROUND(SUM($AA10:$AB11)/12,0))</f>
        <v/>
      </c>
      <c r="BF85" s="226" t="str">
        <f t="shared" si="64"/>
        <v/>
      </c>
      <c r="BG85" s="226" t="str">
        <f t="shared" si="64"/>
        <v/>
      </c>
      <c r="BH85" s="226" t="str">
        <f t="shared" si="64"/>
        <v/>
      </c>
      <c r="BI85" s="226" t="str">
        <f t="shared" si="64"/>
        <v/>
      </c>
      <c r="BJ85" s="226" t="str">
        <f t="shared" si="64"/>
        <v/>
      </c>
      <c r="BK85" s="226" t="str">
        <f t="shared" si="64"/>
        <v/>
      </c>
      <c r="BL85" s="226" t="str">
        <f t="shared" si="64"/>
        <v/>
      </c>
      <c r="BM85" s="226" t="str">
        <f t="shared" si="64"/>
        <v/>
      </c>
      <c r="BN85" s="226" t="str">
        <f t="shared" si="64"/>
        <v/>
      </c>
      <c r="BO85" s="226" t="str">
        <f t="shared" si="64"/>
        <v/>
      </c>
      <c r="BP85" s="226" t="str">
        <f t="shared" si="64"/>
        <v/>
      </c>
    </row>
    <row r="86" spans="24:68" ht="18.95" customHeight="1" x14ac:dyDescent="0.15">
      <c r="X86" s="149" t="str">
        <f t="shared" si="61"/>
        <v>４</v>
      </c>
      <c r="Y86" s="155" t="str">
        <f t="shared" si="61"/>
        <v/>
      </c>
      <c r="Z86" s="167" t="str">
        <f>IF(BE131="","",ROUND(IF(BE$142&lt;ROUNDDOWN(税率・条件!$C$23/12,0),BE130+BE131,BE130*(((税率・条件!$C$23/12)-BE$141)/BE$140)+BE131),0))</f>
        <v/>
      </c>
      <c r="AA86" s="174" t="str">
        <f>IF(BF131="","",ROUND(IF(BF$142&lt;ROUNDDOWN(税率・条件!$C$23/12,0),BF130+BF131,BF130*(((税率・条件!$C$23/12)-BF$141)/BF$140)+BF131),0))</f>
        <v/>
      </c>
      <c r="AB86" s="174" t="str">
        <f>IF(BG131="","",ROUND(IF(BG$142&lt;ROUNDDOWN(税率・条件!$C$23/12,0),BG130+BG131,BG130*(((税率・条件!$C$23/12)-BG$141)/BG$140)+BG131),0))</f>
        <v/>
      </c>
      <c r="AC86" s="174" t="str">
        <f>IF(BH131="","",ROUND(IF(BH$142&lt;ROUNDDOWN(税率・条件!$C$23/12,0),BH130+BH131,BH130*(((税率・条件!$C$23/12)-BH$141)/BH$140)+BH131),0))</f>
        <v/>
      </c>
      <c r="AD86" s="174" t="str">
        <f>IF(BI131="","",ROUND(IF(BI$142&lt;ROUNDDOWN(税率・条件!$C$23/12,0),BI130+BI131,BI130*(((税率・条件!$C$23/12)-BI$141)/BI$140)+BI131),0))</f>
        <v/>
      </c>
      <c r="AE86" s="174" t="str">
        <f>IF(BJ131="","",ROUND(IF(BJ$142&lt;ROUNDDOWN(税率・条件!$C$23/12,0),BJ130+BJ131,BJ130*(((税率・条件!$C$23/12)-BJ$141)/BJ$140)+BJ131),0))</f>
        <v/>
      </c>
      <c r="AF86" s="174" t="str">
        <f>IF(BK131="","",ROUND(IF(BK$142&lt;ROUNDDOWN(税率・条件!$C$23/12,0),BK130+BK131,BK130*(((税率・条件!$C$23/12)-BK$141)/BK$140)+BK131),0))</f>
        <v/>
      </c>
      <c r="AG86" s="174" t="str">
        <f>IF(BL131="","",ROUND(IF(BL$142&lt;ROUNDDOWN(税率・条件!$C$23/12,0),BL130+BL131,BL130*(((税率・条件!$C$23/12)-BL$141)/BL$140)+BL131),0))</f>
        <v/>
      </c>
      <c r="AH86" s="174" t="str">
        <f>IF(BM131="","",ROUND(IF(BM$142&lt;ROUNDDOWN(税率・条件!$C$23/12,0),BM130+BM131,BM130*(((税率・条件!$C$23/12)-BM$141)/BM$140)+BM131),0))</f>
        <v/>
      </c>
      <c r="AI86" s="174" t="str">
        <f>IF(BN131="","",ROUND(IF(BN$142&lt;ROUNDDOWN(税率・条件!$C$23/12,0),BN130+BN131,BN130*(((税率・条件!$C$23/12)-BN$141)/BN$140)+BN131),0))</f>
        <v/>
      </c>
      <c r="AJ86" s="174" t="str">
        <f>IF(BO131="","",ROUND(IF(BO$142&lt;ROUNDDOWN(税率・条件!$C$23/12,0),BO130+BO131,BO130*(((税率・条件!$C$23/12)-BO$141)/BO$140)+BO131),0))</f>
        <v/>
      </c>
      <c r="AK86" s="177" t="str">
        <f>IF(BP131="","",ROUND(IF(BP$142&lt;ROUNDDOWN(税率・条件!$C$23/12,0),BP130+BP131,BP130*(((税率・条件!$C$23/12)-BP$141)/BP$140)+BP131),0))</f>
        <v/>
      </c>
      <c r="AL86" s="183" t="str">
        <f>IF(AM10="","",SUM(Z86:AK86))</f>
        <v/>
      </c>
      <c r="BD86" s="213" t="s">
        <v>161</v>
      </c>
      <c r="BE86" s="224" t="str">
        <f t="shared" ref="BE86:BP86" si="65">IF(AO12="","",ROUND((SUM($Y12:$Z13)/12),0))</f>
        <v/>
      </c>
      <c r="BF86" s="224" t="str">
        <f t="shared" si="65"/>
        <v/>
      </c>
      <c r="BG86" s="224" t="str">
        <f t="shared" si="65"/>
        <v/>
      </c>
      <c r="BH86" s="224" t="str">
        <f t="shared" si="65"/>
        <v/>
      </c>
      <c r="BI86" s="224" t="str">
        <f t="shared" si="65"/>
        <v/>
      </c>
      <c r="BJ86" s="224" t="str">
        <f t="shared" si="65"/>
        <v/>
      </c>
      <c r="BK86" s="224" t="str">
        <f t="shared" si="65"/>
        <v/>
      </c>
      <c r="BL86" s="224" t="str">
        <f t="shared" si="65"/>
        <v/>
      </c>
      <c r="BM86" s="224" t="str">
        <f t="shared" si="65"/>
        <v/>
      </c>
      <c r="BN86" s="224" t="str">
        <f t="shared" si="65"/>
        <v/>
      </c>
      <c r="BO86" s="224" t="str">
        <f t="shared" si="65"/>
        <v/>
      </c>
      <c r="BP86" s="224" t="str">
        <f t="shared" si="65"/>
        <v/>
      </c>
    </row>
    <row r="87" spans="24:68" ht="18.95" customHeight="1" x14ac:dyDescent="0.15">
      <c r="X87" s="149" t="str">
        <f t="shared" si="61"/>
        <v>５</v>
      </c>
      <c r="Y87" s="155" t="str">
        <f t="shared" si="61"/>
        <v/>
      </c>
      <c r="Z87" s="167" t="str">
        <f>IF(BE133="","",ROUND(IF(BE$142&lt;ROUNDDOWN(税率・条件!$C$23/12,0),BE132+BE133,BE132*(((税率・条件!$C$23/12)-BE$141)/BE$140)+BE133),0))</f>
        <v/>
      </c>
      <c r="AA87" s="174" t="str">
        <f>IF(BF133="","",ROUND(IF(BF$142&lt;ROUNDDOWN(税率・条件!$C$23/12,0),BF132+BF133,BF132*(((税率・条件!$C$23/12)-BF$141)/BF$140)+BF133),0))</f>
        <v/>
      </c>
      <c r="AB87" s="174" t="str">
        <f>IF(BG133="","",ROUND(IF(BG$142&lt;ROUNDDOWN(税率・条件!$C$23/12,0),BG132+BG133,BG132*(((税率・条件!$C$23/12)-BG$141)/BG$140)+BG133),0))</f>
        <v/>
      </c>
      <c r="AC87" s="174" t="str">
        <f>IF(BH133="","",ROUND(IF(BH$142&lt;ROUNDDOWN(税率・条件!$C$23/12,0),BH132+BH133,BH132*(((税率・条件!$C$23/12)-BH$141)/BH$140)+BH133),0))</f>
        <v/>
      </c>
      <c r="AD87" s="174" t="str">
        <f>IF(BI133="","",ROUND(IF(BI$142&lt;ROUNDDOWN(税率・条件!$C$23/12,0),BI132+BI133,BI132*(((税率・条件!$C$23/12)-BI$141)/BI$140)+BI133),0))</f>
        <v/>
      </c>
      <c r="AE87" s="174" t="str">
        <f>IF(BJ133="","",ROUND(IF(BJ$142&lt;ROUNDDOWN(税率・条件!$C$23/12,0),BJ132+BJ133,BJ132*(((税率・条件!$C$23/12)-BJ$141)/BJ$140)+BJ133),0))</f>
        <v/>
      </c>
      <c r="AF87" s="174" t="str">
        <f>IF(BK133="","",ROUND(IF(BK$142&lt;ROUNDDOWN(税率・条件!$C$23/12,0),BK132+BK133,BK132*(((税率・条件!$C$23/12)-BK$141)/BK$140)+BK133),0))</f>
        <v/>
      </c>
      <c r="AG87" s="174" t="str">
        <f>IF(BL133="","",ROUND(IF(BL$142&lt;ROUNDDOWN(税率・条件!$C$23/12,0),BL132+BL133,BL132*(((税率・条件!$C$23/12)-BL$141)/BL$140)+BL133),0))</f>
        <v/>
      </c>
      <c r="AH87" s="174" t="str">
        <f>IF(BM133="","",ROUND(IF(BM$142&lt;ROUNDDOWN(税率・条件!$C$23/12,0),BM132+BM133,BM132*(((税率・条件!$C$23/12)-BM$141)/BM$140)+BM133),0))</f>
        <v/>
      </c>
      <c r="AI87" s="174" t="str">
        <f>IF(BN133="","",ROUND(IF(BN$142&lt;ROUNDDOWN(税率・条件!$C$23/12,0),BN132+BN133,BN132*(((税率・条件!$C$23/12)-BN$141)/BN$140)+BN133),0))</f>
        <v/>
      </c>
      <c r="AJ87" s="174" t="str">
        <f>IF(BO133="","",ROUND(IF(BO$142&lt;ROUNDDOWN(税率・条件!$C$23/12,0),BO132+BO133,BO132*(((税率・条件!$C$23/12)-BO$141)/BO$140)+BO133),0))</f>
        <v/>
      </c>
      <c r="AK87" s="177" t="str">
        <f>IF(BP133="","",ROUND(IF(BP$142&lt;ROUNDDOWN(税率・条件!$C$23/12,0),BP132+BP133,BP132*(((税率・条件!$C$23/12)-BP$141)/BP$140)+BP133),0))</f>
        <v/>
      </c>
      <c r="AL87" s="183" t="str">
        <f>IF(AM12="","",SUM(Z87:AK87))</f>
        <v/>
      </c>
      <c r="BD87" s="214" t="s">
        <v>162</v>
      </c>
      <c r="BE87" s="226" t="str">
        <f t="shared" ref="BE87:BP87" si="66">IF(AO12="","",ROUND(SUM($AA12:$AB13)/12,0))</f>
        <v/>
      </c>
      <c r="BF87" s="226" t="str">
        <f t="shared" si="66"/>
        <v/>
      </c>
      <c r="BG87" s="226" t="str">
        <f t="shared" si="66"/>
        <v/>
      </c>
      <c r="BH87" s="226" t="str">
        <f t="shared" si="66"/>
        <v/>
      </c>
      <c r="BI87" s="226" t="str">
        <f t="shared" si="66"/>
        <v/>
      </c>
      <c r="BJ87" s="226" t="str">
        <f t="shared" si="66"/>
        <v/>
      </c>
      <c r="BK87" s="226" t="str">
        <f t="shared" si="66"/>
        <v/>
      </c>
      <c r="BL87" s="226" t="str">
        <f t="shared" si="66"/>
        <v/>
      </c>
      <c r="BM87" s="226" t="str">
        <f t="shared" si="66"/>
        <v/>
      </c>
      <c r="BN87" s="226" t="str">
        <f t="shared" si="66"/>
        <v/>
      </c>
      <c r="BO87" s="226" t="str">
        <f t="shared" si="66"/>
        <v/>
      </c>
      <c r="BP87" s="226" t="str">
        <f t="shared" si="66"/>
        <v/>
      </c>
    </row>
    <row r="88" spans="24:68" ht="18.95" customHeight="1" x14ac:dyDescent="0.15">
      <c r="X88" s="149" t="str">
        <f t="shared" si="61"/>
        <v>６</v>
      </c>
      <c r="Y88" s="155" t="str">
        <f t="shared" si="61"/>
        <v/>
      </c>
      <c r="Z88" s="167" t="str">
        <f>IF(BE135="","",ROUND(IF(BE$142&lt;ROUNDDOWN(税率・条件!$C$23/12,0),BE134+BE135,BE134*(((税率・条件!$C$23/12)-BE$141)/BE$140)+BE135),0))</f>
        <v/>
      </c>
      <c r="AA88" s="174" t="str">
        <f>IF(BF135="","",ROUND(IF(BF$142&lt;ROUNDDOWN(税率・条件!$C$23/12,0),BF134+BF135,BF134*(((税率・条件!$C$23/12)-BF$141)/BF$140)+BF135),0))</f>
        <v/>
      </c>
      <c r="AB88" s="174" t="str">
        <f>IF(BG135="","",ROUND(IF(BG$142&lt;ROUNDDOWN(税率・条件!$C$23/12,0),BG134+BG135,BG134*(((税率・条件!$C$23/12)-BG$141)/BG$140)+BG135),0))</f>
        <v/>
      </c>
      <c r="AC88" s="174" t="str">
        <f>IF(BH135="","",ROUND(IF(BH$142&lt;ROUNDDOWN(税率・条件!$C$23/12,0),BH134+BH135,BH134*(((税率・条件!$C$23/12)-BH$141)/BH$140)+BH135),0))</f>
        <v/>
      </c>
      <c r="AD88" s="174" t="str">
        <f>IF(BI135="","",ROUND(IF(BI$142&lt;ROUNDDOWN(税率・条件!$C$23/12,0),BI134+BI135,BI134*(((税率・条件!$C$23/12)-BI$141)/BI$140)+BI135),0))</f>
        <v/>
      </c>
      <c r="AE88" s="174" t="str">
        <f>IF(BJ135="","",ROUND(IF(BJ$142&lt;ROUNDDOWN(税率・条件!$C$23/12,0),BJ134+BJ135,BJ134*(((税率・条件!$C$23/12)-BJ$141)/BJ$140)+BJ135),0))</f>
        <v/>
      </c>
      <c r="AF88" s="174" t="str">
        <f>IF(BK135="","",ROUND(IF(BK$142&lt;ROUNDDOWN(税率・条件!$C$23/12,0),BK134+BK135,BK134*(((税率・条件!$C$23/12)-BK$141)/BK$140)+BK135),0))</f>
        <v/>
      </c>
      <c r="AG88" s="174" t="str">
        <f>IF(BL135="","",ROUND(IF(BL$142&lt;ROUNDDOWN(税率・条件!$C$23/12,0),BL134+BL135,BL134*(((税率・条件!$C$23/12)-BL$141)/BL$140)+BL135),0))</f>
        <v/>
      </c>
      <c r="AH88" s="174" t="str">
        <f>IF(BM135="","",ROUND(IF(BM$142&lt;ROUNDDOWN(税率・条件!$C$23/12,0),BM134+BM135,BM134*(((税率・条件!$C$23/12)-BM$141)/BM$140)+BM135),0))</f>
        <v/>
      </c>
      <c r="AI88" s="174" t="str">
        <f>IF(BN135="","",ROUND(IF(BN$142&lt;ROUNDDOWN(税率・条件!$C$23/12,0),BN134+BN135,BN134*(((税率・条件!$C$23/12)-BN$141)/BN$140)+BN135),0))</f>
        <v/>
      </c>
      <c r="AJ88" s="174" t="str">
        <f>IF(BO135="","",ROUND(IF(BO$142&lt;ROUNDDOWN(税率・条件!$C$23/12,0),BO134+BO135,BO134*(((税率・条件!$C$23/12)-BO$141)/BO$140)+BO135),0))</f>
        <v/>
      </c>
      <c r="AK88" s="177" t="str">
        <f>IF(BP135="","",ROUND(IF(BP$142&lt;ROUNDDOWN(税率・条件!$C$23/12,0),BP134+BP135,BP134*(((税率・条件!$C$23/12)-BP$141)/BP$140)+BP135),0))</f>
        <v/>
      </c>
      <c r="AL88" s="183" t="str">
        <f>IF(AM14="","",SUM(Z88:AK88))</f>
        <v/>
      </c>
      <c r="BD88" s="213" t="s">
        <v>62</v>
      </c>
      <c r="BE88" s="224" t="str">
        <f t="shared" ref="BE88:BP88" si="67">IF(AO14="","",ROUND((SUM($Y14:$Z15)/12),0))</f>
        <v/>
      </c>
      <c r="BF88" s="224" t="str">
        <f t="shared" si="67"/>
        <v/>
      </c>
      <c r="BG88" s="224" t="str">
        <f t="shared" si="67"/>
        <v/>
      </c>
      <c r="BH88" s="224" t="str">
        <f t="shared" si="67"/>
        <v/>
      </c>
      <c r="BI88" s="224" t="str">
        <f t="shared" si="67"/>
        <v/>
      </c>
      <c r="BJ88" s="224" t="str">
        <f t="shared" si="67"/>
        <v/>
      </c>
      <c r="BK88" s="224" t="str">
        <f t="shared" si="67"/>
        <v/>
      </c>
      <c r="BL88" s="224" t="str">
        <f t="shared" si="67"/>
        <v/>
      </c>
      <c r="BM88" s="224" t="str">
        <f t="shared" si="67"/>
        <v/>
      </c>
      <c r="BN88" s="224" t="str">
        <f t="shared" si="67"/>
        <v/>
      </c>
      <c r="BO88" s="224" t="str">
        <f t="shared" si="67"/>
        <v/>
      </c>
      <c r="BP88" s="224" t="str">
        <f t="shared" si="67"/>
        <v/>
      </c>
    </row>
    <row r="89" spans="24:68" ht="18.95" customHeight="1" x14ac:dyDescent="0.15">
      <c r="X89" s="149" t="str">
        <f t="shared" si="61"/>
        <v>７</v>
      </c>
      <c r="Y89" s="155" t="str">
        <f t="shared" si="61"/>
        <v/>
      </c>
      <c r="Z89" s="167" t="str">
        <f>IF(BE137="","",ROUND(IF(BE$142&lt;ROUNDDOWN(税率・条件!$C$23/12,0),BE136+BE137,BE136*(((税率・条件!$C$23/12)-BE$141)/BE$140)+BE137),0))</f>
        <v/>
      </c>
      <c r="AA89" s="174" t="str">
        <f>IF(BF137="","",ROUND(IF(BF$142&lt;ROUNDDOWN(税率・条件!$C$23/12,0),BF136+BF137,BF136*(((税率・条件!$C$23/12)-BF$141)/BF$140)+BF137),0))</f>
        <v/>
      </c>
      <c r="AB89" s="174" t="str">
        <f>IF(BG137="","",ROUND(IF(BG$142&lt;ROUNDDOWN(税率・条件!$C$23/12,0),BG136+BG137,BG136*(((税率・条件!$C$23/12)-BG$141)/BG$140)+BG137),0))</f>
        <v/>
      </c>
      <c r="AC89" s="174" t="str">
        <f>IF(BH137="","",ROUND(IF(BH$142&lt;ROUNDDOWN(税率・条件!$C$23/12,0),BH136+BH137,BH136*(((税率・条件!$C$23/12)-BH$141)/BH$140)+BH137),0))</f>
        <v/>
      </c>
      <c r="AD89" s="174" t="str">
        <f>IF(BI137="","",ROUND(IF(BI$142&lt;ROUNDDOWN(税率・条件!$C$23/12,0),BI136+BI137,BI136*(((税率・条件!$C$23/12)-BI$141)/BI$140)+BI137),0))</f>
        <v/>
      </c>
      <c r="AE89" s="174" t="str">
        <f>IF(BJ137="","",ROUND(IF(BJ$142&lt;ROUNDDOWN(税率・条件!$C$23/12,0),BJ136+BJ137,BJ136*(((税率・条件!$C$23/12)-BJ$141)/BJ$140)+BJ137),0))</f>
        <v/>
      </c>
      <c r="AF89" s="174" t="str">
        <f>IF(BK137="","",ROUND(IF(BK$142&lt;ROUNDDOWN(税率・条件!$C$23/12,0),BK136+BK137,BK136*(((税率・条件!$C$23/12)-BK$141)/BK$140)+BK137),0))</f>
        <v/>
      </c>
      <c r="AG89" s="174" t="str">
        <f>IF(BL137="","",ROUND(IF(BL$142&lt;ROUNDDOWN(税率・条件!$C$23/12,0),BL136+BL137,BL136*(((税率・条件!$C$23/12)-BL$141)/BL$140)+BL137),0))</f>
        <v/>
      </c>
      <c r="AH89" s="174" t="str">
        <f>IF(BM137="","",ROUND(IF(BM$142&lt;ROUNDDOWN(税率・条件!$C$23/12,0),BM136+BM137,BM136*(((税率・条件!$C$23/12)-BM$141)/BM$140)+BM137),0))</f>
        <v/>
      </c>
      <c r="AI89" s="174" t="str">
        <f>IF(BN137="","",ROUND(IF(BN$142&lt;ROUNDDOWN(税率・条件!$C$23/12,0),BN136+BN137,BN136*(((税率・条件!$C$23/12)-BN$141)/BN$140)+BN137),0))</f>
        <v/>
      </c>
      <c r="AJ89" s="174" t="str">
        <f>IF(BO137="","",ROUND(IF(BO$142&lt;ROUNDDOWN(税率・条件!$C$23/12,0),BO136+BO137,BO136*(((税率・条件!$C$23/12)-BO$141)/BO$140)+BO137),0))</f>
        <v/>
      </c>
      <c r="AK89" s="177" t="str">
        <f>IF(BP137="","",ROUND(IF(BP$142&lt;ROUNDDOWN(税率・条件!$C$23/12,0),BP136+BP137,BP136*(((税率・条件!$C$23/12)-BP$141)/BP$140)+BP137),0))</f>
        <v/>
      </c>
      <c r="AL89" s="183" t="str">
        <f>IF(AM16="","",SUM(Z89:AK89))</f>
        <v/>
      </c>
      <c r="BD89" s="214" t="s">
        <v>163</v>
      </c>
      <c r="BE89" s="226" t="str">
        <f t="shared" ref="BE89:BP89" si="68">IF(AO14="","",ROUND(SUM($AA14:$AB15)/12,0))</f>
        <v/>
      </c>
      <c r="BF89" s="226" t="str">
        <f t="shared" si="68"/>
        <v/>
      </c>
      <c r="BG89" s="226" t="str">
        <f t="shared" si="68"/>
        <v/>
      </c>
      <c r="BH89" s="226" t="str">
        <f t="shared" si="68"/>
        <v/>
      </c>
      <c r="BI89" s="226" t="str">
        <f t="shared" si="68"/>
        <v/>
      </c>
      <c r="BJ89" s="226" t="str">
        <f t="shared" si="68"/>
        <v/>
      </c>
      <c r="BK89" s="226" t="str">
        <f t="shared" si="68"/>
        <v/>
      </c>
      <c r="BL89" s="226" t="str">
        <f t="shared" si="68"/>
        <v/>
      </c>
      <c r="BM89" s="226" t="str">
        <f t="shared" si="68"/>
        <v/>
      </c>
      <c r="BN89" s="226" t="str">
        <f t="shared" si="68"/>
        <v/>
      </c>
      <c r="BO89" s="226" t="str">
        <f t="shared" si="68"/>
        <v/>
      </c>
      <c r="BP89" s="226" t="str">
        <f t="shared" si="68"/>
        <v/>
      </c>
    </row>
    <row r="90" spans="24:68" ht="18.95" customHeight="1" x14ac:dyDescent="0.15">
      <c r="X90" s="152" t="str">
        <f t="shared" si="61"/>
        <v>８</v>
      </c>
      <c r="Y90" s="159" t="str">
        <f t="shared" si="61"/>
        <v/>
      </c>
      <c r="Z90" s="167" t="str">
        <f>IF(BE139="","",ROUND(IF(BE$142&lt;ROUNDDOWN(税率・条件!$C$23/12,0),BE138+BE139,BE138*(((税率・条件!$C$23/12)-BE$141)/BE$140)+BE139),0))</f>
        <v/>
      </c>
      <c r="AA90" s="174" t="str">
        <f>IF(BF139="","",ROUND(IF(BF$142&lt;ROUNDDOWN(税率・条件!$C$23/12,0),BF138+BF139,BF138*(((税率・条件!$C$23/12)-BF$141)/BF$140)+BF139),0))</f>
        <v/>
      </c>
      <c r="AB90" s="174" t="str">
        <f>IF(BG139="","",ROUND(IF(BG$142&lt;ROUNDDOWN(税率・条件!$C$23/12,0),BG138+BG139,BG138*(((税率・条件!$C$23/12)-BG$141)/BG$140)+BG139),0))</f>
        <v/>
      </c>
      <c r="AC90" s="174" t="str">
        <f>IF(BH139="","",ROUND(IF(BH$142&lt;ROUNDDOWN(税率・条件!$C$23/12,0),BH138+BH139,BH138*(((税率・条件!$C$23/12)-BH$141)/BH$140)+BH139),0))</f>
        <v/>
      </c>
      <c r="AD90" s="174" t="str">
        <f>IF(BI139="","",ROUND(IF(BI$142&lt;ROUNDDOWN(税率・条件!$C$23/12,0),BI138+BI139,BI138*(((税率・条件!$C$23/12)-BI$141)/BI$140)+BI139),0))</f>
        <v/>
      </c>
      <c r="AE90" s="174" t="str">
        <f>IF(BJ139="","",ROUND(IF(BJ$142&lt;ROUNDDOWN(税率・条件!$C$23/12,0),BJ138+BJ139,BJ138*(((税率・条件!$C$23/12)-BJ$141)/BJ$140)+BJ139),0))</f>
        <v/>
      </c>
      <c r="AF90" s="174" t="str">
        <f>IF(BK139="","",ROUND(IF(BK$142&lt;ROUNDDOWN(税率・条件!$C$23/12,0),BK138+BK139,BK138*(((税率・条件!$C$23/12)-BK$141)/BK$140)+BK139),0))</f>
        <v/>
      </c>
      <c r="AG90" s="174" t="str">
        <f>IF(BL139="","",ROUND(IF(BL$142&lt;ROUNDDOWN(税率・条件!$C$23/12,0),BL138+BL139,BL138*(((税率・条件!$C$23/12)-BL$141)/BL$140)+BL139),0))</f>
        <v/>
      </c>
      <c r="AH90" s="174" t="str">
        <f>IF(BM139="","",ROUND(IF(BM$142&lt;ROUNDDOWN(税率・条件!$C$23/12,0),BM138+BM139,BM138*(((税率・条件!$C$23/12)-BM$141)/BM$140)+BM139),0))</f>
        <v/>
      </c>
      <c r="AI90" s="180" t="str">
        <f>IF(BN139="","",ROUND(IF(BN$142&lt;ROUNDDOWN(税率・条件!$C$23/12,0),BN138+BN139,BN138*(((税率・条件!$C$23/12)-BN$141)/BN$140)+BN139),0))</f>
        <v/>
      </c>
      <c r="AJ90" s="180" t="str">
        <f>IF(BO139="","",ROUND(IF(BO$142&lt;ROUNDDOWN(税率・条件!$C$23/12,0),BO138+BO139,BO138*(((税率・条件!$C$23/12)-BO$141)/BO$140)+BO139),0))</f>
        <v/>
      </c>
      <c r="AK90" s="177" t="str">
        <f>IF(BP139="","",ROUND(IF(BP$142&lt;ROUNDDOWN(税率・条件!$C$23/12,0),BP138+BP139,BP138*(((税率・条件!$C$23/12)-BP$141)/BP$140)+BP139),0))</f>
        <v/>
      </c>
      <c r="AL90" s="183" t="str">
        <f>IF(AM18="","",SUM(Z90:AK90))</f>
        <v/>
      </c>
      <c r="BD90" s="213" t="s">
        <v>164</v>
      </c>
      <c r="BE90" s="224" t="str">
        <f t="shared" ref="BE90:BP90" si="69">IF(AO16="","",ROUND((SUM($Y16:$Z17)/12),0))</f>
        <v/>
      </c>
      <c r="BF90" s="224" t="str">
        <f t="shared" si="69"/>
        <v/>
      </c>
      <c r="BG90" s="224" t="str">
        <f t="shared" si="69"/>
        <v/>
      </c>
      <c r="BH90" s="224" t="str">
        <f t="shared" si="69"/>
        <v/>
      </c>
      <c r="BI90" s="224" t="str">
        <f t="shared" si="69"/>
        <v/>
      </c>
      <c r="BJ90" s="224" t="str">
        <f t="shared" si="69"/>
        <v/>
      </c>
      <c r="BK90" s="224" t="str">
        <f t="shared" si="69"/>
        <v/>
      </c>
      <c r="BL90" s="224" t="str">
        <f t="shared" si="69"/>
        <v/>
      </c>
      <c r="BM90" s="224" t="str">
        <f t="shared" si="69"/>
        <v/>
      </c>
      <c r="BN90" s="224" t="str">
        <f t="shared" si="69"/>
        <v/>
      </c>
      <c r="BO90" s="224" t="str">
        <f t="shared" si="69"/>
        <v/>
      </c>
      <c r="BP90" s="224" t="str">
        <f t="shared" si="69"/>
        <v/>
      </c>
    </row>
    <row r="91" spans="24:68" ht="18.95" customHeight="1" x14ac:dyDescent="0.15">
      <c r="X91" s="343" t="s">
        <v>145</v>
      </c>
      <c r="Y91" s="344"/>
      <c r="Z91" s="168">
        <f t="shared" ref="Z91:AL91" si="70">SUM(Z83:Z90)</f>
        <v>0</v>
      </c>
      <c r="AA91" s="175">
        <f t="shared" si="70"/>
        <v>0</v>
      </c>
      <c r="AB91" s="175">
        <f t="shared" si="70"/>
        <v>0</v>
      </c>
      <c r="AC91" s="175">
        <f t="shared" si="70"/>
        <v>0</v>
      </c>
      <c r="AD91" s="175">
        <f t="shared" si="70"/>
        <v>0</v>
      </c>
      <c r="AE91" s="175">
        <f t="shared" si="70"/>
        <v>0</v>
      </c>
      <c r="AF91" s="175">
        <f t="shared" si="70"/>
        <v>0</v>
      </c>
      <c r="AG91" s="175">
        <f t="shared" si="70"/>
        <v>0</v>
      </c>
      <c r="AH91" s="175">
        <f t="shared" si="70"/>
        <v>0</v>
      </c>
      <c r="AI91" s="178">
        <f t="shared" si="70"/>
        <v>0</v>
      </c>
      <c r="AJ91" s="178">
        <f t="shared" si="70"/>
        <v>0</v>
      </c>
      <c r="AK91" s="181">
        <f t="shared" si="70"/>
        <v>0</v>
      </c>
      <c r="AL91" s="184">
        <f t="shared" si="70"/>
        <v>0</v>
      </c>
      <c r="BD91" s="214" t="s">
        <v>165</v>
      </c>
      <c r="BE91" s="226" t="str">
        <f t="shared" ref="BE91:BP91" si="71">IF(AO16="","",ROUND(SUM($AA16:$AB17)/12,0))</f>
        <v/>
      </c>
      <c r="BF91" s="226" t="str">
        <f t="shared" si="71"/>
        <v/>
      </c>
      <c r="BG91" s="226" t="str">
        <f t="shared" si="71"/>
        <v/>
      </c>
      <c r="BH91" s="226" t="str">
        <f t="shared" si="71"/>
        <v/>
      </c>
      <c r="BI91" s="226" t="str">
        <f t="shared" si="71"/>
        <v/>
      </c>
      <c r="BJ91" s="226" t="str">
        <f t="shared" si="71"/>
        <v/>
      </c>
      <c r="BK91" s="226" t="str">
        <f t="shared" si="71"/>
        <v/>
      </c>
      <c r="BL91" s="226" t="str">
        <f t="shared" si="71"/>
        <v/>
      </c>
      <c r="BM91" s="226" t="str">
        <f t="shared" si="71"/>
        <v/>
      </c>
      <c r="BN91" s="226" t="str">
        <f t="shared" si="71"/>
        <v/>
      </c>
      <c r="BO91" s="226" t="str">
        <f t="shared" si="71"/>
        <v/>
      </c>
      <c r="BP91" s="226" t="str">
        <f t="shared" si="71"/>
        <v/>
      </c>
    </row>
    <row r="92" spans="24:68" ht="18.95" customHeight="1" x14ac:dyDescent="0.15">
      <c r="Y92" s="160" t="s">
        <v>170</v>
      </c>
      <c r="Z92" s="169" t="str">
        <f>IF(BE$142&lt;ROUNDDOWN(税率・条件!$C$23/12,0),"","該当")</f>
        <v/>
      </c>
      <c r="AA92" s="169" t="str">
        <f>IF(BF$142&lt;ROUNDDOWN(税率・条件!$C$23/12,0),"","該当")</f>
        <v/>
      </c>
      <c r="AB92" s="169" t="str">
        <f>IF(BG$142&lt;ROUNDDOWN(税率・条件!$C$23/12,0),"","該当")</f>
        <v/>
      </c>
      <c r="AC92" s="169" t="str">
        <f>IF(BH$142&lt;ROUNDDOWN(税率・条件!$C$23/12,0),"","該当")</f>
        <v/>
      </c>
      <c r="AD92" s="169" t="str">
        <f>IF(BI$142&lt;ROUNDDOWN(税率・条件!$C$23/12,0),"","該当")</f>
        <v/>
      </c>
      <c r="AE92" s="169" t="str">
        <f>IF(BJ$142&lt;ROUNDDOWN(税率・条件!$C$23/12,0),"","該当")</f>
        <v/>
      </c>
      <c r="AF92" s="169" t="str">
        <f>IF(BK$142&lt;ROUNDDOWN(税率・条件!$C$23/12,0),"","該当")</f>
        <v/>
      </c>
      <c r="AG92" s="169" t="str">
        <f>IF(BL$142&lt;ROUNDDOWN(税率・条件!$C$23/12,0),"","該当")</f>
        <v/>
      </c>
      <c r="AH92" s="169" t="str">
        <f>IF(BM$142&lt;ROUNDDOWN(税率・条件!$C$23/12,0),"","該当")</f>
        <v/>
      </c>
      <c r="AI92" s="179" t="str">
        <f>IF(BN$142&lt;ROUNDDOWN(税率・条件!$C$23/12,0),"","該当")</f>
        <v/>
      </c>
      <c r="AJ92" s="179" t="str">
        <f>IF(BO$142&lt;ROUNDDOWN(税率・条件!$C$23/12,0),"","該当")</f>
        <v/>
      </c>
      <c r="AK92" s="179" t="str">
        <f>IF(BP$142&lt;ROUNDDOWN(税率・条件!$C$23/12,0),"","該当")</f>
        <v/>
      </c>
      <c r="AL92" s="169"/>
      <c r="BD92" s="213" t="s">
        <v>167</v>
      </c>
      <c r="BE92" s="224" t="str">
        <f t="shared" ref="BE92:BP92" si="72">IF(AO18="","",ROUND((SUM($Y18:$Z19)/12),0))</f>
        <v/>
      </c>
      <c r="BF92" s="224" t="str">
        <f t="shared" si="72"/>
        <v/>
      </c>
      <c r="BG92" s="224" t="str">
        <f t="shared" si="72"/>
        <v/>
      </c>
      <c r="BH92" s="224" t="str">
        <f t="shared" si="72"/>
        <v/>
      </c>
      <c r="BI92" s="224" t="str">
        <f t="shared" si="72"/>
        <v/>
      </c>
      <c r="BJ92" s="224" t="str">
        <f t="shared" si="72"/>
        <v/>
      </c>
      <c r="BK92" s="224" t="str">
        <f t="shared" si="72"/>
        <v/>
      </c>
      <c r="BL92" s="224" t="str">
        <f t="shared" si="72"/>
        <v/>
      </c>
      <c r="BM92" s="224" t="str">
        <f t="shared" si="72"/>
        <v/>
      </c>
      <c r="BN92" s="224" t="str">
        <f t="shared" si="72"/>
        <v/>
      </c>
      <c r="BO92" s="224" t="str">
        <f t="shared" si="72"/>
        <v/>
      </c>
      <c r="BP92" s="224" t="str">
        <f t="shared" si="72"/>
        <v/>
      </c>
    </row>
    <row r="93" spans="24:68" ht="18.95" customHeight="1" x14ac:dyDescent="0.15">
      <c r="BD93" s="214" t="s">
        <v>168</v>
      </c>
      <c r="BE93" s="226" t="str">
        <f t="shared" ref="BE93:BP93" si="73">IF(AO18="","",ROUND(SUM($AA18:$AB19)/12,0))</f>
        <v/>
      </c>
      <c r="BF93" s="226" t="str">
        <f t="shared" si="73"/>
        <v/>
      </c>
      <c r="BG93" s="226" t="str">
        <f t="shared" si="73"/>
        <v/>
      </c>
      <c r="BH93" s="226" t="str">
        <f t="shared" si="73"/>
        <v/>
      </c>
      <c r="BI93" s="226" t="str">
        <f t="shared" si="73"/>
        <v/>
      </c>
      <c r="BJ93" s="226" t="str">
        <f t="shared" si="73"/>
        <v/>
      </c>
      <c r="BK93" s="226" t="str">
        <f t="shared" si="73"/>
        <v/>
      </c>
      <c r="BL93" s="226" t="str">
        <f t="shared" si="73"/>
        <v/>
      </c>
      <c r="BM93" s="226" t="str">
        <f t="shared" si="73"/>
        <v/>
      </c>
      <c r="BN93" s="226" t="str">
        <f t="shared" si="73"/>
        <v/>
      </c>
      <c r="BO93" s="226" t="str">
        <f t="shared" si="73"/>
        <v/>
      </c>
      <c r="BP93" s="226" t="str">
        <f t="shared" si="73"/>
        <v/>
      </c>
    </row>
    <row r="94" spans="24:68" ht="18.95" customHeight="1" x14ac:dyDescent="0.15">
      <c r="X94" s="361" t="s">
        <v>214</v>
      </c>
      <c r="Y94" s="362"/>
      <c r="Z94" s="168">
        <f t="shared" ref="Z94:AL94" si="74">SUM(Z49,Z63,Z77,Z91)</f>
        <v>0</v>
      </c>
      <c r="AA94" s="175">
        <f t="shared" si="74"/>
        <v>0</v>
      </c>
      <c r="AB94" s="175">
        <f t="shared" si="74"/>
        <v>0</v>
      </c>
      <c r="AC94" s="175">
        <f t="shared" si="74"/>
        <v>0</v>
      </c>
      <c r="AD94" s="175">
        <f t="shared" si="74"/>
        <v>0</v>
      </c>
      <c r="AE94" s="175">
        <f t="shared" si="74"/>
        <v>0</v>
      </c>
      <c r="AF94" s="175">
        <f t="shared" si="74"/>
        <v>0</v>
      </c>
      <c r="AG94" s="175">
        <f t="shared" si="74"/>
        <v>0</v>
      </c>
      <c r="AH94" s="175">
        <f t="shared" si="74"/>
        <v>0</v>
      </c>
      <c r="AI94" s="175">
        <f t="shared" si="74"/>
        <v>0</v>
      </c>
      <c r="AJ94" s="175">
        <f t="shared" si="74"/>
        <v>0</v>
      </c>
      <c r="AK94" s="175">
        <f t="shared" si="74"/>
        <v>0</v>
      </c>
      <c r="AL94" s="185">
        <f t="shared" si="74"/>
        <v>0</v>
      </c>
      <c r="BD94" s="202" t="s">
        <v>37</v>
      </c>
      <c r="BE94" s="133">
        <f t="shared" ref="BE94:BP95" si="75">SUM(BE78,BE80,BE82,BE84,BE86,BE88,BE90,BE92)</f>
        <v>0</v>
      </c>
      <c r="BF94" s="133">
        <f t="shared" si="75"/>
        <v>0</v>
      </c>
      <c r="BG94" s="133">
        <f t="shared" si="75"/>
        <v>0</v>
      </c>
      <c r="BH94" s="133">
        <f t="shared" si="75"/>
        <v>0</v>
      </c>
      <c r="BI94" s="133">
        <f t="shared" si="75"/>
        <v>0</v>
      </c>
      <c r="BJ94" s="133">
        <f t="shared" si="75"/>
        <v>0</v>
      </c>
      <c r="BK94" s="133">
        <f t="shared" si="75"/>
        <v>0</v>
      </c>
      <c r="BL94" s="133">
        <f t="shared" si="75"/>
        <v>0</v>
      </c>
      <c r="BM94" s="133">
        <f t="shared" si="75"/>
        <v>0</v>
      </c>
      <c r="BN94" s="133">
        <f t="shared" si="75"/>
        <v>0</v>
      </c>
      <c r="BO94" s="133">
        <f t="shared" si="75"/>
        <v>0</v>
      </c>
      <c r="BP94" s="133">
        <f t="shared" si="75"/>
        <v>0</v>
      </c>
    </row>
    <row r="95" spans="24:68" ht="18.95" customHeight="1" x14ac:dyDescent="0.15">
      <c r="BD95" s="202" t="s">
        <v>169</v>
      </c>
      <c r="BE95" s="133">
        <f t="shared" si="75"/>
        <v>0</v>
      </c>
      <c r="BF95" s="133">
        <f t="shared" si="75"/>
        <v>0</v>
      </c>
      <c r="BG95" s="133">
        <f t="shared" si="75"/>
        <v>0</v>
      </c>
      <c r="BH95" s="133">
        <f t="shared" si="75"/>
        <v>0</v>
      </c>
      <c r="BI95" s="133">
        <f t="shared" si="75"/>
        <v>0</v>
      </c>
      <c r="BJ95" s="133">
        <f t="shared" si="75"/>
        <v>0</v>
      </c>
      <c r="BK95" s="133">
        <f t="shared" si="75"/>
        <v>0</v>
      </c>
      <c r="BL95" s="133">
        <f t="shared" si="75"/>
        <v>0</v>
      </c>
      <c r="BM95" s="133">
        <f t="shared" si="75"/>
        <v>0</v>
      </c>
      <c r="BN95" s="133">
        <f t="shared" si="75"/>
        <v>0</v>
      </c>
      <c r="BO95" s="133">
        <f t="shared" si="75"/>
        <v>0</v>
      </c>
      <c r="BP95" s="133">
        <f t="shared" si="75"/>
        <v>0</v>
      </c>
    </row>
    <row r="96" spans="24:68" ht="18.95" customHeight="1" x14ac:dyDescent="0.15">
      <c r="BD96" s="158" t="s">
        <v>56</v>
      </c>
      <c r="BE96" s="133">
        <f t="shared" ref="BE96:BP96" si="76">SUM(BE94:BE95)</f>
        <v>0</v>
      </c>
      <c r="BF96" s="133">
        <f t="shared" si="76"/>
        <v>0</v>
      </c>
      <c r="BG96" s="133">
        <f t="shared" si="76"/>
        <v>0</v>
      </c>
      <c r="BH96" s="133">
        <f t="shared" si="76"/>
        <v>0</v>
      </c>
      <c r="BI96" s="133">
        <f t="shared" si="76"/>
        <v>0</v>
      </c>
      <c r="BJ96" s="133">
        <f t="shared" si="76"/>
        <v>0</v>
      </c>
      <c r="BK96" s="133">
        <f t="shared" si="76"/>
        <v>0</v>
      </c>
      <c r="BL96" s="133">
        <f t="shared" si="76"/>
        <v>0</v>
      </c>
      <c r="BM96" s="133">
        <f t="shared" si="76"/>
        <v>0</v>
      </c>
      <c r="BN96" s="133">
        <f t="shared" si="76"/>
        <v>0</v>
      </c>
      <c r="BO96" s="133">
        <f t="shared" si="76"/>
        <v>0</v>
      </c>
      <c r="BP96" s="133">
        <f t="shared" si="76"/>
        <v>0</v>
      </c>
    </row>
    <row r="97" spans="56:68" ht="18.95" customHeight="1" x14ac:dyDescent="0.15">
      <c r="BE97" s="133"/>
      <c r="BF97" s="133"/>
      <c r="BG97" s="133"/>
      <c r="BH97" s="133"/>
      <c r="BI97" s="133"/>
      <c r="BJ97" s="133"/>
      <c r="BK97" s="133"/>
      <c r="BL97" s="133"/>
      <c r="BM97" s="133"/>
      <c r="BN97" s="133"/>
      <c r="BO97" s="133"/>
      <c r="BP97" s="133"/>
    </row>
    <row r="98" spans="56:68" ht="18.95" customHeight="1" x14ac:dyDescent="0.15"/>
    <row r="99" spans="56:68" ht="18.95" customHeight="1" x14ac:dyDescent="0.15">
      <c r="BE99" s="1" t="s">
        <v>7</v>
      </c>
    </row>
    <row r="100" spans="56:68" ht="18.95" customHeight="1" x14ac:dyDescent="0.15">
      <c r="BD100" s="212"/>
      <c r="BE100" s="109">
        <v>4</v>
      </c>
      <c r="BF100" s="109">
        <v>5</v>
      </c>
      <c r="BG100" s="109">
        <v>6</v>
      </c>
      <c r="BH100" s="109">
        <v>7</v>
      </c>
      <c r="BI100" s="109">
        <v>8</v>
      </c>
      <c r="BJ100" s="109">
        <v>9</v>
      </c>
      <c r="BK100" s="109">
        <v>10</v>
      </c>
      <c r="BL100" s="109">
        <v>11</v>
      </c>
      <c r="BM100" s="109">
        <v>12</v>
      </c>
      <c r="BN100" s="109">
        <v>1</v>
      </c>
      <c r="BO100" s="109">
        <v>2</v>
      </c>
      <c r="BP100" s="109">
        <v>3</v>
      </c>
    </row>
    <row r="101" spans="56:68" ht="18.95" customHeight="1" x14ac:dyDescent="0.15">
      <c r="BD101" s="213" t="s">
        <v>153</v>
      </c>
      <c r="BE101" s="224" t="str">
        <f t="shared" ref="BE101:BP101" si="77">IF(AND(AO5="",AO21=1),0,IF(AO5="","",ROUND((SUM($AD4:$AE5)/12),0)))</f>
        <v/>
      </c>
      <c r="BF101" s="224" t="str">
        <f t="shared" si="77"/>
        <v/>
      </c>
      <c r="BG101" s="224" t="str">
        <f t="shared" si="77"/>
        <v/>
      </c>
      <c r="BH101" s="224" t="str">
        <f t="shared" si="77"/>
        <v/>
      </c>
      <c r="BI101" s="224" t="str">
        <f t="shared" si="77"/>
        <v/>
      </c>
      <c r="BJ101" s="224" t="str">
        <f t="shared" si="77"/>
        <v/>
      </c>
      <c r="BK101" s="224" t="str">
        <f t="shared" si="77"/>
        <v/>
      </c>
      <c r="BL101" s="224" t="str">
        <f t="shared" si="77"/>
        <v/>
      </c>
      <c r="BM101" s="224" t="str">
        <f t="shared" si="77"/>
        <v/>
      </c>
      <c r="BN101" s="224" t="str">
        <f t="shared" si="77"/>
        <v/>
      </c>
      <c r="BO101" s="224" t="str">
        <f t="shared" si="77"/>
        <v/>
      </c>
      <c r="BP101" s="224" t="str">
        <f t="shared" si="77"/>
        <v/>
      </c>
    </row>
    <row r="102" spans="56:68" ht="18.95" customHeight="1" x14ac:dyDescent="0.15">
      <c r="BD102" s="214" t="s">
        <v>154</v>
      </c>
      <c r="BE102" s="226" t="str">
        <f t="shared" ref="BE102:BP102" si="78">IF(AO5="",IF(AO21="","",ROUND(SUM($AG4:$AG5)/12,0)),ROUND(SUM($AF4:$AG5)/12,0))</f>
        <v/>
      </c>
      <c r="BF102" s="226" t="str">
        <f t="shared" si="78"/>
        <v/>
      </c>
      <c r="BG102" s="226" t="str">
        <f t="shared" si="78"/>
        <v/>
      </c>
      <c r="BH102" s="226" t="str">
        <f t="shared" si="78"/>
        <v/>
      </c>
      <c r="BI102" s="226" t="str">
        <f t="shared" si="78"/>
        <v/>
      </c>
      <c r="BJ102" s="226" t="str">
        <f t="shared" si="78"/>
        <v/>
      </c>
      <c r="BK102" s="226" t="str">
        <f t="shared" si="78"/>
        <v/>
      </c>
      <c r="BL102" s="226" t="str">
        <f t="shared" si="78"/>
        <v/>
      </c>
      <c r="BM102" s="226" t="str">
        <f t="shared" si="78"/>
        <v/>
      </c>
      <c r="BN102" s="226" t="str">
        <f t="shared" si="78"/>
        <v/>
      </c>
      <c r="BO102" s="226" t="str">
        <f t="shared" si="78"/>
        <v/>
      </c>
      <c r="BP102" s="226" t="str">
        <f t="shared" si="78"/>
        <v/>
      </c>
    </row>
    <row r="103" spans="56:68" ht="18.95" customHeight="1" x14ac:dyDescent="0.15">
      <c r="BD103" s="213" t="s">
        <v>76</v>
      </c>
      <c r="BE103" s="224" t="str">
        <f t="shared" ref="BE103:BP103" si="79">IF(AO7="","",ROUND((SUM($AD6:$AE7)/12),0))</f>
        <v/>
      </c>
      <c r="BF103" s="224" t="str">
        <f t="shared" si="79"/>
        <v/>
      </c>
      <c r="BG103" s="224" t="str">
        <f t="shared" si="79"/>
        <v/>
      </c>
      <c r="BH103" s="224" t="str">
        <f t="shared" si="79"/>
        <v/>
      </c>
      <c r="BI103" s="224" t="str">
        <f t="shared" si="79"/>
        <v/>
      </c>
      <c r="BJ103" s="224" t="str">
        <f t="shared" si="79"/>
        <v/>
      </c>
      <c r="BK103" s="224" t="str">
        <f t="shared" si="79"/>
        <v/>
      </c>
      <c r="BL103" s="224" t="str">
        <f t="shared" si="79"/>
        <v/>
      </c>
      <c r="BM103" s="224" t="str">
        <f t="shared" si="79"/>
        <v/>
      </c>
      <c r="BN103" s="224" t="str">
        <f t="shared" si="79"/>
        <v/>
      </c>
      <c r="BO103" s="224" t="str">
        <f t="shared" si="79"/>
        <v/>
      </c>
      <c r="BP103" s="224" t="str">
        <f t="shared" si="79"/>
        <v/>
      </c>
    </row>
    <row r="104" spans="56:68" ht="18.95" customHeight="1" x14ac:dyDescent="0.15">
      <c r="BD104" s="214" t="s">
        <v>155</v>
      </c>
      <c r="BE104" s="226" t="str">
        <f t="shared" ref="BE104:BP104" si="80">IF(AO7="","",ROUND(SUM($AF6:$AG7)/12,0))</f>
        <v/>
      </c>
      <c r="BF104" s="226" t="str">
        <f t="shared" si="80"/>
        <v/>
      </c>
      <c r="BG104" s="226" t="str">
        <f t="shared" si="80"/>
        <v/>
      </c>
      <c r="BH104" s="226" t="str">
        <f t="shared" si="80"/>
        <v/>
      </c>
      <c r="BI104" s="226" t="str">
        <f t="shared" si="80"/>
        <v/>
      </c>
      <c r="BJ104" s="226" t="str">
        <f t="shared" si="80"/>
        <v/>
      </c>
      <c r="BK104" s="226" t="str">
        <f t="shared" si="80"/>
        <v/>
      </c>
      <c r="BL104" s="226" t="str">
        <f t="shared" si="80"/>
        <v/>
      </c>
      <c r="BM104" s="226" t="str">
        <f t="shared" si="80"/>
        <v/>
      </c>
      <c r="BN104" s="226" t="str">
        <f t="shared" si="80"/>
        <v/>
      </c>
      <c r="BO104" s="226" t="str">
        <f t="shared" si="80"/>
        <v/>
      </c>
      <c r="BP104" s="226" t="str">
        <f t="shared" si="80"/>
        <v/>
      </c>
    </row>
    <row r="105" spans="56:68" ht="18.95" customHeight="1" x14ac:dyDescent="0.15">
      <c r="BD105" s="213" t="s">
        <v>157</v>
      </c>
      <c r="BE105" s="224" t="str">
        <f t="shared" ref="BE105:BP105" si="81">IF(AO9="","",ROUND((SUM($AD8:$AE9)/12),0))</f>
        <v/>
      </c>
      <c r="BF105" s="224" t="str">
        <f t="shared" si="81"/>
        <v/>
      </c>
      <c r="BG105" s="224" t="str">
        <f t="shared" si="81"/>
        <v/>
      </c>
      <c r="BH105" s="224" t="str">
        <f t="shared" si="81"/>
        <v/>
      </c>
      <c r="BI105" s="224" t="str">
        <f t="shared" si="81"/>
        <v/>
      </c>
      <c r="BJ105" s="224" t="str">
        <f t="shared" si="81"/>
        <v/>
      </c>
      <c r="BK105" s="224" t="str">
        <f t="shared" si="81"/>
        <v/>
      </c>
      <c r="BL105" s="224" t="str">
        <f t="shared" si="81"/>
        <v/>
      </c>
      <c r="BM105" s="224" t="str">
        <f t="shared" si="81"/>
        <v/>
      </c>
      <c r="BN105" s="224" t="str">
        <f t="shared" si="81"/>
        <v/>
      </c>
      <c r="BO105" s="224" t="str">
        <f t="shared" si="81"/>
        <v/>
      </c>
      <c r="BP105" s="224" t="str">
        <f t="shared" si="81"/>
        <v/>
      </c>
    </row>
    <row r="106" spans="56:68" ht="18.95" customHeight="1" x14ac:dyDescent="0.15">
      <c r="BD106" s="214" t="s">
        <v>158</v>
      </c>
      <c r="BE106" s="226" t="str">
        <f t="shared" ref="BE106:BP106" si="82">IF(AO9="","",ROUND(SUM($AF8:$AG9)/12,0))</f>
        <v/>
      </c>
      <c r="BF106" s="226" t="str">
        <f t="shared" si="82"/>
        <v/>
      </c>
      <c r="BG106" s="226" t="str">
        <f t="shared" si="82"/>
        <v/>
      </c>
      <c r="BH106" s="226" t="str">
        <f t="shared" si="82"/>
        <v/>
      </c>
      <c r="BI106" s="226" t="str">
        <f t="shared" si="82"/>
        <v/>
      </c>
      <c r="BJ106" s="226" t="str">
        <f t="shared" si="82"/>
        <v/>
      </c>
      <c r="BK106" s="226" t="str">
        <f t="shared" si="82"/>
        <v/>
      </c>
      <c r="BL106" s="226" t="str">
        <f t="shared" si="82"/>
        <v/>
      </c>
      <c r="BM106" s="226" t="str">
        <f t="shared" si="82"/>
        <v/>
      </c>
      <c r="BN106" s="226" t="str">
        <f t="shared" si="82"/>
        <v/>
      </c>
      <c r="BO106" s="226" t="str">
        <f t="shared" si="82"/>
        <v/>
      </c>
      <c r="BP106" s="226" t="str">
        <f t="shared" si="82"/>
        <v/>
      </c>
    </row>
    <row r="107" spans="56:68" ht="18.95" customHeight="1" x14ac:dyDescent="0.15">
      <c r="BD107" s="213" t="s">
        <v>159</v>
      </c>
      <c r="BE107" s="224" t="str">
        <f t="shared" ref="BE107:BP107" si="83">IF(AO11="","",ROUND((SUM($AD10:$AE11)/12),0))</f>
        <v/>
      </c>
      <c r="BF107" s="224" t="str">
        <f t="shared" si="83"/>
        <v/>
      </c>
      <c r="BG107" s="224" t="str">
        <f t="shared" si="83"/>
        <v/>
      </c>
      <c r="BH107" s="224" t="str">
        <f t="shared" si="83"/>
        <v/>
      </c>
      <c r="BI107" s="224" t="str">
        <f t="shared" si="83"/>
        <v/>
      </c>
      <c r="BJ107" s="224" t="str">
        <f t="shared" si="83"/>
        <v/>
      </c>
      <c r="BK107" s="224" t="str">
        <f t="shared" si="83"/>
        <v/>
      </c>
      <c r="BL107" s="224" t="str">
        <f t="shared" si="83"/>
        <v/>
      </c>
      <c r="BM107" s="224" t="str">
        <f t="shared" si="83"/>
        <v/>
      </c>
      <c r="BN107" s="224" t="str">
        <f t="shared" si="83"/>
        <v/>
      </c>
      <c r="BO107" s="224" t="str">
        <f t="shared" si="83"/>
        <v/>
      </c>
      <c r="BP107" s="224" t="str">
        <f t="shared" si="83"/>
        <v/>
      </c>
    </row>
    <row r="108" spans="56:68" ht="18.95" customHeight="1" x14ac:dyDescent="0.15">
      <c r="BD108" s="214" t="s">
        <v>65</v>
      </c>
      <c r="BE108" s="226" t="str">
        <f t="shared" ref="BE108:BP108" si="84">IF(AO11="","",ROUND(SUM($AF10:$AG11)/12,0))</f>
        <v/>
      </c>
      <c r="BF108" s="226" t="str">
        <f t="shared" si="84"/>
        <v/>
      </c>
      <c r="BG108" s="226" t="str">
        <f t="shared" si="84"/>
        <v/>
      </c>
      <c r="BH108" s="226" t="str">
        <f t="shared" si="84"/>
        <v/>
      </c>
      <c r="BI108" s="226" t="str">
        <f t="shared" si="84"/>
        <v/>
      </c>
      <c r="BJ108" s="226" t="str">
        <f t="shared" si="84"/>
        <v/>
      </c>
      <c r="BK108" s="226" t="str">
        <f t="shared" si="84"/>
        <v/>
      </c>
      <c r="BL108" s="226" t="str">
        <f t="shared" si="84"/>
        <v/>
      </c>
      <c r="BM108" s="226" t="str">
        <f t="shared" si="84"/>
        <v/>
      </c>
      <c r="BN108" s="226" t="str">
        <f t="shared" si="84"/>
        <v/>
      </c>
      <c r="BO108" s="226" t="str">
        <f t="shared" si="84"/>
        <v/>
      </c>
      <c r="BP108" s="226" t="str">
        <f t="shared" si="84"/>
        <v/>
      </c>
    </row>
    <row r="109" spans="56:68" ht="18.95" customHeight="1" x14ac:dyDescent="0.15">
      <c r="BD109" s="213" t="s">
        <v>161</v>
      </c>
      <c r="BE109" s="224" t="str">
        <f t="shared" ref="BE109:BP109" si="85">IF(AO13="","",ROUND((SUM($AD12:$AE13)/12),0))</f>
        <v/>
      </c>
      <c r="BF109" s="224" t="str">
        <f t="shared" si="85"/>
        <v/>
      </c>
      <c r="BG109" s="224" t="str">
        <f t="shared" si="85"/>
        <v/>
      </c>
      <c r="BH109" s="224" t="str">
        <f t="shared" si="85"/>
        <v/>
      </c>
      <c r="BI109" s="224" t="str">
        <f t="shared" si="85"/>
        <v/>
      </c>
      <c r="BJ109" s="224" t="str">
        <f t="shared" si="85"/>
        <v/>
      </c>
      <c r="BK109" s="224" t="str">
        <f t="shared" si="85"/>
        <v/>
      </c>
      <c r="BL109" s="224" t="str">
        <f t="shared" si="85"/>
        <v/>
      </c>
      <c r="BM109" s="224" t="str">
        <f t="shared" si="85"/>
        <v/>
      </c>
      <c r="BN109" s="224" t="str">
        <f t="shared" si="85"/>
        <v/>
      </c>
      <c r="BO109" s="224" t="str">
        <f t="shared" si="85"/>
        <v/>
      </c>
      <c r="BP109" s="224" t="str">
        <f t="shared" si="85"/>
        <v/>
      </c>
    </row>
    <row r="110" spans="56:68" ht="18.95" customHeight="1" x14ac:dyDescent="0.15">
      <c r="BD110" s="214" t="s">
        <v>162</v>
      </c>
      <c r="BE110" s="226" t="str">
        <f t="shared" ref="BE110:BP110" si="86">IF(AO13="","",ROUND(SUM($AF12:$AG13)/12,0))</f>
        <v/>
      </c>
      <c r="BF110" s="226" t="str">
        <f t="shared" si="86"/>
        <v/>
      </c>
      <c r="BG110" s="226" t="str">
        <f t="shared" si="86"/>
        <v/>
      </c>
      <c r="BH110" s="226" t="str">
        <f t="shared" si="86"/>
        <v/>
      </c>
      <c r="BI110" s="226" t="str">
        <f t="shared" si="86"/>
        <v/>
      </c>
      <c r="BJ110" s="226" t="str">
        <f t="shared" si="86"/>
        <v/>
      </c>
      <c r="BK110" s="226" t="str">
        <f t="shared" si="86"/>
        <v/>
      </c>
      <c r="BL110" s="226" t="str">
        <f t="shared" si="86"/>
        <v/>
      </c>
      <c r="BM110" s="226" t="str">
        <f t="shared" si="86"/>
        <v/>
      </c>
      <c r="BN110" s="226" t="str">
        <f t="shared" si="86"/>
        <v/>
      </c>
      <c r="BO110" s="226" t="str">
        <f t="shared" si="86"/>
        <v/>
      </c>
      <c r="BP110" s="226" t="str">
        <f t="shared" si="86"/>
        <v/>
      </c>
    </row>
    <row r="111" spans="56:68" ht="18.95" customHeight="1" x14ac:dyDescent="0.15">
      <c r="BD111" s="213" t="s">
        <v>62</v>
      </c>
      <c r="BE111" s="224" t="str">
        <f t="shared" ref="BE111:BP111" si="87">IF(AO15="","",ROUND((SUM($AD14:$AE15)/12),0))</f>
        <v/>
      </c>
      <c r="BF111" s="224" t="str">
        <f t="shared" si="87"/>
        <v/>
      </c>
      <c r="BG111" s="224" t="str">
        <f t="shared" si="87"/>
        <v/>
      </c>
      <c r="BH111" s="224" t="str">
        <f t="shared" si="87"/>
        <v/>
      </c>
      <c r="BI111" s="224" t="str">
        <f t="shared" si="87"/>
        <v/>
      </c>
      <c r="BJ111" s="224" t="str">
        <f t="shared" si="87"/>
        <v/>
      </c>
      <c r="BK111" s="224" t="str">
        <f t="shared" si="87"/>
        <v/>
      </c>
      <c r="BL111" s="224" t="str">
        <f t="shared" si="87"/>
        <v/>
      </c>
      <c r="BM111" s="224" t="str">
        <f t="shared" si="87"/>
        <v/>
      </c>
      <c r="BN111" s="224" t="str">
        <f t="shared" si="87"/>
        <v/>
      </c>
      <c r="BO111" s="224" t="str">
        <f t="shared" si="87"/>
        <v/>
      </c>
      <c r="BP111" s="224" t="str">
        <f t="shared" si="87"/>
        <v/>
      </c>
    </row>
    <row r="112" spans="56:68" ht="18.95" customHeight="1" x14ac:dyDescent="0.15">
      <c r="BD112" s="214" t="s">
        <v>163</v>
      </c>
      <c r="BE112" s="226" t="str">
        <f t="shared" ref="BE112:BP112" si="88">IF(AO15="","",ROUND(SUM($AF14:$AG15)/12,0))</f>
        <v/>
      </c>
      <c r="BF112" s="226" t="str">
        <f t="shared" si="88"/>
        <v/>
      </c>
      <c r="BG112" s="226" t="str">
        <f t="shared" si="88"/>
        <v/>
      </c>
      <c r="BH112" s="226" t="str">
        <f t="shared" si="88"/>
        <v/>
      </c>
      <c r="BI112" s="226" t="str">
        <f t="shared" si="88"/>
        <v/>
      </c>
      <c r="BJ112" s="226" t="str">
        <f t="shared" si="88"/>
        <v/>
      </c>
      <c r="BK112" s="226" t="str">
        <f t="shared" si="88"/>
        <v/>
      </c>
      <c r="BL112" s="226" t="str">
        <f t="shared" si="88"/>
        <v/>
      </c>
      <c r="BM112" s="226" t="str">
        <f t="shared" si="88"/>
        <v/>
      </c>
      <c r="BN112" s="226" t="str">
        <f t="shared" si="88"/>
        <v/>
      </c>
      <c r="BO112" s="226" t="str">
        <f t="shared" si="88"/>
        <v/>
      </c>
      <c r="BP112" s="226" t="str">
        <f t="shared" si="88"/>
        <v/>
      </c>
    </row>
    <row r="113" spans="56:68" ht="18.95" customHeight="1" x14ac:dyDescent="0.15">
      <c r="BD113" s="213" t="s">
        <v>164</v>
      </c>
      <c r="BE113" s="224" t="str">
        <f t="shared" ref="BE113:BP113" si="89">IF(AO17="","",ROUND((SUM($AD16:$AE17)/12),0))</f>
        <v/>
      </c>
      <c r="BF113" s="224" t="str">
        <f t="shared" si="89"/>
        <v/>
      </c>
      <c r="BG113" s="224" t="str">
        <f t="shared" si="89"/>
        <v/>
      </c>
      <c r="BH113" s="224" t="str">
        <f t="shared" si="89"/>
        <v/>
      </c>
      <c r="BI113" s="224" t="str">
        <f t="shared" si="89"/>
        <v/>
      </c>
      <c r="BJ113" s="224" t="str">
        <f t="shared" si="89"/>
        <v/>
      </c>
      <c r="BK113" s="224" t="str">
        <f t="shared" si="89"/>
        <v/>
      </c>
      <c r="BL113" s="224" t="str">
        <f t="shared" si="89"/>
        <v/>
      </c>
      <c r="BM113" s="224" t="str">
        <f t="shared" si="89"/>
        <v/>
      </c>
      <c r="BN113" s="224" t="str">
        <f t="shared" si="89"/>
        <v/>
      </c>
      <c r="BO113" s="224" t="str">
        <f t="shared" si="89"/>
        <v/>
      </c>
      <c r="BP113" s="224" t="str">
        <f t="shared" si="89"/>
        <v/>
      </c>
    </row>
    <row r="114" spans="56:68" ht="18.95" customHeight="1" x14ac:dyDescent="0.15">
      <c r="BD114" s="214" t="s">
        <v>165</v>
      </c>
      <c r="BE114" s="226" t="str">
        <f t="shared" ref="BE114:BP114" si="90">IF(AO17="","",ROUND(SUM($AF16:$AG17)/12,0))</f>
        <v/>
      </c>
      <c r="BF114" s="226" t="str">
        <f t="shared" si="90"/>
        <v/>
      </c>
      <c r="BG114" s="226" t="str">
        <f t="shared" si="90"/>
        <v/>
      </c>
      <c r="BH114" s="226" t="str">
        <f t="shared" si="90"/>
        <v/>
      </c>
      <c r="BI114" s="226" t="str">
        <f t="shared" si="90"/>
        <v/>
      </c>
      <c r="BJ114" s="226" t="str">
        <f t="shared" si="90"/>
        <v/>
      </c>
      <c r="BK114" s="226" t="str">
        <f t="shared" si="90"/>
        <v/>
      </c>
      <c r="BL114" s="226" t="str">
        <f t="shared" si="90"/>
        <v/>
      </c>
      <c r="BM114" s="226" t="str">
        <f t="shared" si="90"/>
        <v/>
      </c>
      <c r="BN114" s="226" t="str">
        <f t="shared" si="90"/>
        <v/>
      </c>
      <c r="BO114" s="226" t="str">
        <f t="shared" si="90"/>
        <v/>
      </c>
      <c r="BP114" s="226" t="str">
        <f t="shared" si="90"/>
        <v/>
      </c>
    </row>
    <row r="115" spans="56:68" ht="18.95" customHeight="1" x14ac:dyDescent="0.15">
      <c r="BD115" s="213" t="s">
        <v>167</v>
      </c>
      <c r="BE115" s="224" t="str">
        <f t="shared" ref="BE115:BP115" si="91">IF(AO19="","",ROUND((SUM($AD18:$AE19)/12),0))</f>
        <v/>
      </c>
      <c r="BF115" s="224" t="str">
        <f t="shared" si="91"/>
        <v/>
      </c>
      <c r="BG115" s="224" t="str">
        <f t="shared" si="91"/>
        <v/>
      </c>
      <c r="BH115" s="224" t="str">
        <f t="shared" si="91"/>
        <v/>
      </c>
      <c r="BI115" s="224" t="str">
        <f t="shared" si="91"/>
        <v/>
      </c>
      <c r="BJ115" s="224" t="str">
        <f t="shared" si="91"/>
        <v/>
      </c>
      <c r="BK115" s="224" t="str">
        <f t="shared" si="91"/>
        <v/>
      </c>
      <c r="BL115" s="224" t="str">
        <f t="shared" si="91"/>
        <v/>
      </c>
      <c r="BM115" s="224" t="str">
        <f t="shared" si="91"/>
        <v/>
      </c>
      <c r="BN115" s="224" t="str">
        <f t="shared" si="91"/>
        <v/>
      </c>
      <c r="BO115" s="224" t="str">
        <f t="shared" si="91"/>
        <v/>
      </c>
      <c r="BP115" s="224" t="str">
        <f t="shared" si="91"/>
        <v/>
      </c>
    </row>
    <row r="116" spans="56:68" ht="18.95" customHeight="1" x14ac:dyDescent="0.15">
      <c r="BD116" s="214" t="s">
        <v>168</v>
      </c>
      <c r="BE116" s="226" t="str">
        <f t="shared" ref="BE116:BP116" si="92">IF(AO19="","",ROUND(SUM($AF18:$AG19)/12,0))</f>
        <v/>
      </c>
      <c r="BF116" s="226" t="str">
        <f t="shared" si="92"/>
        <v/>
      </c>
      <c r="BG116" s="226" t="str">
        <f t="shared" si="92"/>
        <v/>
      </c>
      <c r="BH116" s="226" t="str">
        <f t="shared" si="92"/>
        <v/>
      </c>
      <c r="BI116" s="226" t="str">
        <f t="shared" si="92"/>
        <v/>
      </c>
      <c r="BJ116" s="226" t="str">
        <f t="shared" si="92"/>
        <v/>
      </c>
      <c r="BK116" s="226" t="str">
        <f t="shared" si="92"/>
        <v/>
      </c>
      <c r="BL116" s="226" t="str">
        <f t="shared" si="92"/>
        <v/>
      </c>
      <c r="BM116" s="226" t="str">
        <f t="shared" si="92"/>
        <v/>
      </c>
      <c r="BN116" s="226" t="str">
        <f t="shared" si="92"/>
        <v/>
      </c>
      <c r="BO116" s="226" t="str">
        <f t="shared" si="92"/>
        <v/>
      </c>
      <c r="BP116" s="226" t="str">
        <f t="shared" si="92"/>
        <v/>
      </c>
    </row>
    <row r="117" spans="56:68" ht="18.95" customHeight="1" x14ac:dyDescent="0.15">
      <c r="BD117" s="202" t="s">
        <v>37</v>
      </c>
      <c r="BE117" s="133">
        <f t="shared" ref="BE117:BP118" si="93">SUM(BE101,BE103,BE105,BE107,BE109,BE111,BE113,BE115)</f>
        <v>0</v>
      </c>
      <c r="BF117" s="133">
        <f t="shared" si="93"/>
        <v>0</v>
      </c>
      <c r="BG117" s="133">
        <f t="shared" si="93"/>
        <v>0</v>
      </c>
      <c r="BH117" s="133">
        <f t="shared" si="93"/>
        <v>0</v>
      </c>
      <c r="BI117" s="133">
        <f t="shared" si="93"/>
        <v>0</v>
      </c>
      <c r="BJ117" s="133">
        <f t="shared" si="93"/>
        <v>0</v>
      </c>
      <c r="BK117" s="133">
        <f t="shared" si="93"/>
        <v>0</v>
      </c>
      <c r="BL117" s="133">
        <f t="shared" si="93"/>
        <v>0</v>
      </c>
      <c r="BM117" s="133">
        <f t="shared" si="93"/>
        <v>0</v>
      </c>
      <c r="BN117" s="133">
        <f t="shared" si="93"/>
        <v>0</v>
      </c>
      <c r="BO117" s="133">
        <f t="shared" si="93"/>
        <v>0</v>
      </c>
      <c r="BP117" s="133">
        <f t="shared" si="93"/>
        <v>0</v>
      </c>
    </row>
    <row r="118" spans="56:68" ht="18.95" customHeight="1" x14ac:dyDescent="0.15">
      <c r="BD118" s="202" t="s">
        <v>169</v>
      </c>
      <c r="BE118" s="133">
        <f t="shared" si="93"/>
        <v>0</v>
      </c>
      <c r="BF118" s="133">
        <f t="shared" si="93"/>
        <v>0</v>
      </c>
      <c r="BG118" s="133">
        <f t="shared" si="93"/>
        <v>0</v>
      </c>
      <c r="BH118" s="133">
        <f t="shared" si="93"/>
        <v>0</v>
      </c>
      <c r="BI118" s="133">
        <f t="shared" si="93"/>
        <v>0</v>
      </c>
      <c r="BJ118" s="133">
        <f t="shared" si="93"/>
        <v>0</v>
      </c>
      <c r="BK118" s="133">
        <f t="shared" si="93"/>
        <v>0</v>
      </c>
      <c r="BL118" s="133">
        <f t="shared" si="93"/>
        <v>0</v>
      </c>
      <c r="BM118" s="133">
        <f t="shared" si="93"/>
        <v>0</v>
      </c>
      <c r="BN118" s="133">
        <f t="shared" si="93"/>
        <v>0</v>
      </c>
      <c r="BO118" s="133">
        <f t="shared" si="93"/>
        <v>0</v>
      </c>
      <c r="BP118" s="133">
        <f t="shared" si="93"/>
        <v>0</v>
      </c>
    </row>
    <row r="119" spans="56:68" ht="18.95" customHeight="1" x14ac:dyDescent="0.15">
      <c r="BD119" s="158" t="s">
        <v>56</v>
      </c>
      <c r="BE119" s="133">
        <f t="shared" ref="BE119:BP119" si="94">SUM(BE117:BE118)</f>
        <v>0</v>
      </c>
      <c r="BF119" s="133">
        <f t="shared" si="94"/>
        <v>0</v>
      </c>
      <c r="BG119" s="133">
        <f t="shared" si="94"/>
        <v>0</v>
      </c>
      <c r="BH119" s="133">
        <f t="shared" si="94"/>
        <v>0</v>
      </c>
      <c r="BI119" s="133">
        <f t="shared" si="94"/>
        <v>0</v>
      </c>
      <c r="BJ119" s="133">
        <f t="shared" si="94"/>
        <v>0</v>
      </c>
      <c r="BK119" s="133">
        <f t="shared" si="94"/>
        <v>0</v>
      </c>
      <c r="BL119" s="133">
        <f t="shared" si="94"/>
        <v>0</v>
      </c>
      <c r="BM119" s="133">
        <f t="shared" si="94"/>
        <v>0</v>
      </c>
      <c r="BN119" s="133">
        <f t="shared" si="94"/>
        <v>0</v>
      </c>
      <c r="BO119" s="133">
        <f t="shared" si="94"/>
        <v>0</v>
      </c>
      <c r="BP119" s="133">
        <f t="shared" si="94"/>
        <v>0</v>
      </c>
    </row>
    <row r="120" spans="56:68" ht="18.95" customHeight="1" x14ac:dyDescent="0.15"/>
    <row r="121" spans="56:68" ht="18.95" customHeight="1" x14ac:dyDescent="0.15"/>
    <row r="122" spans="56:68" ht="18.95" customHeight="1" x14ac:dyDescent="0.15">
      <c r="BE122" s="1" t="s">
        <v>208</v>
      </c>
    </row>
    <row r="123" spans="56:68" ht="18.95" customHeight="1" x14ac:dyDescent="0.15">
      <c r="BD123" s="212"/>
      <c r="BE123" s="109">
        <v>4</v>
      </c>
      <c r="BF123" s="109">
        <v>5</v>
      </c>
      <c r="BG123" s="109">
        <v>6</v>
      </c>
      <c r="BH123" s="109">
        <v>7</v>
      </c>
      <c r="BI123" s="109">
        <v>8</v>
      </c>
      <c r="BJ123" s="109">
        <v>9</v>
      </c>
      <c r="BK123" s="109">
        <v>10</v>
      </c>
      <c r="BL123" s="109">
        <v>11</v>
      </c>
      <c r="BM123" s="109">
        <v>12</v>
      </c>
      <c r="BN123" s="109">
        <v>1</v>
      </c>
      <c r="BO123" s="109">
        <v>2</v>
      </c>
      <c r="BP123" s="109">
        <v>3</v>
      </c>
    </row>
    <row r="124" spans="56:68" ht="18.95" customHeight="1" x14ac:dyDescent="0.15">
      <c r="BD124" s="213" t="s">
        <v>153</v>
      </c>
      <c r="BE124" s="224" t="str">
        <f t="shared" ref="BE124:BP124" si="95">IF(AND(AO4="",AO20=1),0,IF(AO4="","",ROUND((SUM($AI4:$AJ5)/12),0)))</f>
        <v/>
      </c>
      <c r="BF124" s="224" t="str">
        <f t="shared" si="95"/>
        <v/>
      </c>
      <c r="BG124" s="224" t="str">
        <f t="shared" si="95"/>
        <v/>
      </c>
      <c r="BH124" s="224" t="str">
        <f t="shared" si="95"/>
        <v/>
      </c>
      <c r="BI124" s="224" t="str">
        <f t="shared" si="95"/>
        <v/>
      </c>
      <c r="BJ124" s="224" t="str">
        <f t="shared" si="95"/>
        <v/>
      </c>
      <c r="BK124" s="224" t="str">
        <f t="shared" si="95"/>
        <v/>
      </c>
      <c r="BL124" s="224" t="str">
        <f t="shared" si="95"/>
        <v/>
      </c>
      <c r="BM124" s="224" t="str">
        <f t="shared" si="95"/>
        <v/>
      </c>
      <c r="BN124" s="224" t="str">
        <f t="shared" si="95"/>
        <v/>
      </c>
      <c r="BO124" s="224" t="str">
        <f t="shared" si="95"/>
        <v/>
      </c>
      <c r="BP124" s="224" t="str">
        <f t="shared" si="95"/>
        <v/>
      </c>
    </row>
    <row r="125" spans="56:68" ht="18.95" customHeight="1" x14ac:dyDescent="0.15">
      <c r="BD125" s="214" t="s">
        <v>154</v>
      </c>
      <c r="BE125" s="226" t="str">
        <f t="shared" ref="BE125:BP125" si="96">IF(AO4="",IF(AO20="","",ROUND(SUM($AL4:$AL5)/12,0)),ROUND(SUM($AK4:$AL5)/12,0))</f>
        <v/>
      </c>
      <c r="BF125" s="226" t="str">
        <f t="shared" si="96"/>
        <v/>
      </c>
      <c r="BG125" s="226" t="str">
        <f t="shared" si="96"/>
        <v/>
      </c>
      <c r="BH125" s="226" t="str">
        <f t="shared" si="96"/>
        <v/>
      </c>
      <c r="BI125" s="226" t="str">
        <f t="shared" si="96"/>
        <v/>
      </c>
      <c r="BJ125" s="226" t="str">
        <f t="shared" si="96"/>
        <v/>
      </c>
      <c r="BK125" s="226" t="str">
        <f t="shared" si="96"/>
        <v/>
      </c>
      <c r="BL125" s="226" t="str">
        <f t="shared" si="96"/>
        <v/>
      </c>
      <c r="BM125" s="226" t="str">
        <f t="shared" si="96"/>
        <v/>
      </c>
      <c r="BN125" s="226" t="str">
        <f t="shared" si="96"/>
        <v/>
      </c>
      <c r="BO125" s="226" t="str">
        <f t="shared" si="96"/>
        <v/>
      </c>
      <c r="BP125" s="226" t="str">
        <f t="shared" si="96"/>
        <v/>
      </c>
    </row>
    <row r="126" spans="56:68" ht="18.95" customHeight="1" x14ac:dyDescent="0.15">
      <c r="BD126" s="213" t="s">
        <v>76</v>
      </c>
      <c r="BE126" s="224" t="str">
        <f t="shared" ref="BE126:BP126" si="97">IF(AO6="","",ROUND((SUM($AI6:$AJ7)/12),0))</f>
        <v/>
      </c>
      <c r="BF126" s="224" t="str">
        <f t="shared" si="97"/>
        <v/>
      </c>
      <c r="BG126" s="224" t="str">
        <f t="shared" si="97"/>
        <v/>
      </c>
      <c r="BH126" s="224" t="str">
        <f t="shared" si="97"/>
        <v/>
      </c>
      <c r="BI126" s="224" t="str">
        <f t="shared" si="97"/>
        <v/>
      </c>
      <c r="BJ126" s="224" t="str">
        <f t="shared" si="97"/>
        <v/>
      </c>
      <c r="BK126" s="224" t="str">
        <f t="shared" si="97"/>
        <v/>
      </c>
      <c r="BL126" s="224" t="str">
        <f t="shared" si="97"/>
        <v/>
      </c>
      <c r="BM126" s="224" t="str">
        <f t="shared" si="97"/>
        <v/>
      </c>
      <c r="BN126" s="224" t="str">
        <f t="shared" si="97"/>
        <v/>
      </c>
      <c r="BO126" s="224" t="str">
        <f t="shared" si="97"/>
        <v/>
      </c>
      <c r="BP126" s="224" t="str">
        <f t="shared" si="97"/>
        <v/>
      </c>
    </row>
    <row r="127" spans="56:68" ht="18.95" customHeight="1" x14ac:dyDescent="0.15">
      <c r="BD127" s="214" t="s">
        <v>155</v>
      </c>
      <c r="BE127" s="226" t="str">
        <f t="shared" ref="BE127:BP127" si="98">IF(AO6="","",ROUND(SUM($AK6:$AL7)/12,0))</f>
        <v/>
      </c>
      <c r="BF127" s="226" t="str">
        <f t="shared" si="98"/>
        <v/>
      </c>
      <c r="BG127" s="226" t="str">
        <f t="shared" si="98"/>
        <v/>
      </c>
      <c r="BH127" s="226" t="str">
        <f t="shared" si="98"/>
        <v/>
      </c>
      <c r="BI127" s="226" t="str">
        <f t="shared" si="98"/>
        <v/>
      </c>
      <c r="BJ127" s="226" t="str">
        <f t="shared" si="98"/>
        <v/>
      </c>
      <c r="BK127" s="226" t="str">
        <f t="shared" si="98"/>
        <v/>
      </c>
      <c r="BL127" s="226" t="str">
        <f t="shared" si="98"/>
        <v/>
      </c>
      <c r="BM127" s="226" t="str">
        <f t="shared" si="98"/>
        <v/>
      </c>
      <c r="BN127" s="226" t="str">
        <f t="shared" si="98"/>
        <v/>
      </c>
      <c r="BO127" s="226" t="str">
        <f t="shared" si="98"/>
        <v/>
      </c>
      <c r="BP127" s="226" t="str">
        <f t="shared" si="98"/>
        <v/>
      </c>
    </row>
    <row r="128" spans="56:68" ht="18.95" customHeight="1" x14ac:dyDescent="0.15">
      <c r="BD128" s="213" t="s">
        <v>157</v>
      </c>
      <c r="BE128" s="224" t="str">
        <f t="shared" ref="BE128:BP128" si="99">IF(AO8="","",ROUND((SUM($AI8:$AJ9)/12),0))</f>
        <v/>
      </c>
      <c r="BF128" s="224" t="str">
        <f t="shared" si="99"/>
        <v/>
      </c>
      <c r="BG128" s="224" t="str">
        <f t="shared" si="99"/>
        <v/>
      </c>
      <c r="BH128" s="224" t="str">
        <f t="shared" si="99"/>
        <v/>
      </c>
      <c r="BI128" s="224" t="str">
        <f t="shared" si="99"/>
        <v/>
      </c>
      <c r="BJ128" s="224" t="str">
        <f t="shared" si="99"/>
        <v/>
      </c>
      <c r="BK128" s="224" t="str">
        <f t="shared" si="99"/>
        <v/>
      </c>
      <c r="BL128" s="224" t="str">
        <f t="shared" si="99"/>
        <v/>
      </c>
      <c r="BM128" s="224" t="str">
        <f t="shared" si="99"/>
        <v/>
      </c>
      <c r="BN128" s="224" t="str">
        <f t="shared" si="99"/>
        <v/>
      </c>
      <c r="BO128" s="224" t="str">
        <f t="shared" si="99"/>
        <v/>
      </c>
      <c r="BP128" s="224" t="str">
        <f t="shared" si="99"/>
        <v/>
      </c>
    </row>
    <row r="129" spans="56:68" ht="18.95" customHeight="1" x14ac:dyDescent="0.15">
      <c r="BD129" s="214" t="s">
        <v>158</v>
      </c>
      <c r="BE129" s="226" t="str">
        <f t="shared" ref="BE129:BP129" si="100">IF(AO8="","",ROUND(SUM($AK8:$AL9)/12,0))</f>
        <v/>
      </c>
      <c r="BF129" s="226" t="str">
        <f t="shared" si="100"/>
        <v/>
      </c>
      <c r="BG129" s="226" t="str">
        <f t="shared" si="100"/>
        <v/>
      </c>
      <c r="BH129" s="226" t="str">
        <f t="shared" si="100"/>
        <v/>
      </c>
      <c r="BI129" s="226" t="str">
        <f t="shared" si="100"/>
        <v/>
      </c>
      <c r="BJ129" s="226" t="str">
        <f t="shared" si="100"/>
        <v/>
      </c>
      <c r="BK129" s="226" t="str">
        <f t="shared" si="100"/>
        <v/>
      </c>
      <c r="BL129" s="226" t="str">
        <f t="shared" si="100"/>
        <v/>
      </c>
      <c r="BM129" s="226" t="str">
        <f t="shared" si="100"/>
        <v/>
      </c>
      <c r="BN129" s="226" t="str">
        <f t="shared" si="100"/>
        <v/>
      </c>
      <c r="BO129" s="226" t="str">
        <f t="shared" si="100"/>
        <v/>
      </c>
      <c r="BP129" s="226" t="str">
        <f t="shared" si="100"/>
        <v/>
      </c>
    </row>
    <row r="130" spans="56:68" ht="18.95" customHeight="1" x14ac:dyDescent="0.15">
      <c r="BD130" s="213" t="s">
        <v>159</v>
      </c>
      <c r="BE130" s="224" t="str">
        <f t="shared" ref="BE130:BP130" si="101">IF(AO10="","",ROUND((SUM($AI10:$AJ11)/12),0))</f>
        <v/>
      </c>
      <c r="BF130" s="224" t="str">
        <f t="shared" si="101"/>
        <v/>
      </c>
      <c r="BG130" s="224" t="str">
        <f t="shared" si="101"/>
        <v/>
      </c>
      <c r="BH130" s="224" t="str">
        <f t="shared" si="101"/>
        <v/>
      </c>
      <c r="BI130" s="224" t="str">
        <f t="shared" si="101"/>
        <v/>
      </c>
      <c r="BJ130" s="224" t="str">
        <f t="shared" si="101"/>
        <v/>
      </c>
      <c r="BK130" s="224" t="str">
        <f t="shared" si="101"/>
        <v/>
      </c>
      <c r="BL130" s="224" t="str">
        <f t="shared" si="101"/>
        <v/>
      </c>
      <c r="BM130" s="224" t="str">
        <f t="shared" si="101"/>
        <v/>
      </c>
      <c r="BN130" s="224" t="str">
        <f t="shared" si="101"/>
        <v/>
      </c>
      <c r="BO130" s="224" t="str">
        <f t="shared" si="101"/>
        <v/>
      </c>
      <c r="BP130" s="224" t="str">
        <f t="shared" si="101"/>
        <v/>
      </c>
    </row>
    <row r="131" spans="56:68" ht="18.95" customHeight="1" x14ac:dyDescent="0.15">
      <c r="BD131" s="214" t="s">
        <v>65</v>
      </c>
      <c r="BE131" s="226" t="str">
        <f t="shared" ref="BE131:BP131" si="102">IF(AO10="","",ROUND(SUM($AK10:$AL11)/12,0))</f>
        <v/>
      </c>
      <c r="BF131" s="226" t="str">
        <f t="shared" si="102"/>
        <v/>
      </c>
      <c r="BG131" s="226" t="str">
        <f t="shared" si="102"/>
        <v/>
      </c>
      <c r="BH131" s="226" t="str">
        <f t="shared" si="102"/>
        <v/>
      </c>
      <c r="BI131" s="226" t="str">
        <f t="shared" si="102"/>
        <v/>
      </c>
      <c r="BJ131" s="226" t="str">
        <f t="shared" si="102"/>
        <v/>
      </c>
      <c r="BK131" s="226" t="str">
        <f t="shared" si="102"/>
        <v/>
      </c>
      <c r="BL131" s="226" t="str">
        <f t="shared" si="102"/>
        <v/>
      </c>
      <c r="BM131" s="226" t="str">
        <f t="shared" si="102"/>
        <v/>
      </c>
      <c r="BN131" s="226" t="str">
        <f t="shared" si="102"/>
        <v/>
      </c>
      <c r="BO131" s="226" t="str">
        <f t="shared" si="102"/>
        <v/>
      </c>
      <c r="BP131" s="226" t="str">
        <f t="shared" si="102"/>
        <v/>
      </c>
    </row>
    <row r="132" spans="56:68" ht="18.95" customHeight="1" x14ac:dyDescent="0.15">
      <c r="BD132" s="213" t="s">
        <v>161</v>
      </c>
      <c r="BE132" s="224" t="str">
        <f t="shared" ref="BE132:BP132" si="103">IF(AO12="","",ROUND((SUM($AI12:$AJ13)/12),0))</f>
        <v/>
      </c>
      <c r="BF132" s="224" t="str">
        <f t="shared" si="103"/>
        <v/>
      </c>
      <c r="BG132" s="224" t="str">
        <f t="shared" si="103"/>
        <v/>
      </c>
      <c r="BH132" s="224" t="str">
        <f t="shared" si="103"/>
        <v/>
      </c>
      <c r="BI132" s="224" t="str">
        <f t="shared" si="103"/>
        <v/>
      </c>
      <c r="BJ132" s="224" t="str">
        <f t="shared" si="103"/>
        <v/>
      </c>
      <c r="BK132" s="224" t="str">
        <f t="shared" si="103"/>
        <v/>
      </c>
      <c r="BL132" s="224" t="str">
        <f t="shared" si="103"/>
        <v/>
      </c>
      <c r="BM132" s="224" t="str">
        <f t="shared" si="103"/>
        <v/>
      </c>
      <c r="BN132" s="224" t="str">
        <f t="shared" si="103"/>
        <v/>
      </c>
      <c r="BO132" s="224" t="str">
        <f t="shared" si="103"/>
        <v/>
      </c>
      <c r="BP132" s="224" t="str">
        <f t="shared" si="103"/>
        <v/>
      </c>
    </row>
    <row r="133" spans="56:68" ht="18.95" customHeight="1" x14ac:dyDescent="0.15">
      <c r="BD133" s="214" t="s">
        <v>162</v>
      </c>
      <c r="BE133" s="226" t="str">
        <f t="shared" ref="BE133:BP133" si="104">IF(AO12="","",ROUND(SUM($AK12:$AL13)/12,0))</f>
        <v/>
      </c>
      <c r="BF133" s="226" t="str">
        <f t="shared" si="104"/>
        <v/>
      </c>
      <c r="BG133" s="226" t="str">
        <f t="shared" si="104"/>
        <v/>
      </c>
      <c r="BH133" s="226" t="str">
        <f t="shared" si="104"/>
        <v/>
      </c>
      <c r="BI133" s="226" t="str">
        <f t="shared" si="104"/>
        <v/>
      </c>
      <c r="BJ133" s="226" t="str">
        <f t="shared" si="104"/>
        <v/>
      </c>
      <c r="BK133" s="226" t="str">
        <f t="shared" si="104"/>
        <v/>
      </c>
      <c r="BL133" s="226" t="str">
        <f t="shared" si="104"/>
        <v/>
      </c>
      <c r="BM133" s="226" t="str">
        <f t="shared" si="104"/>
        <v/>
      </c>
      <c r="BN133" s="226" t="str">
        <f t="shared" si="104"/>
        <v/>
      </c>
      <c r="BO133" s="226" t="str">
        <f t="shared" si="104"/>
        <v/>
      </c>
      <c r="BP133" s="226" t="str">
        <f t="shared" si="104"/>
        <v/>
      </c>
    </row>
    <row r="134" spans="56:68" ht="18.95" customHeight="1" x14ac:dyDescent="0.15">
      <c r="BD134" s="213" t="s">
        <v>62</v>
      </c>
      <c r="BE134" s="224" t="str">
        <f t="shared" ref="BE134:BP134" si="105">IF(AO14="","",ROUND((SUM($AI14:$AJ15)/12),0))</f>
        <v/>
      </c>
      <c r="BF134" s="224" t="str">
        <f t="shared" si="105"/>
        <v/>
      </c>
      <c r="BG134" s="224" t="str">
        <f t="shared" si="105"/>
        <v/>
      </c>
      <c r="BH134" s="224" t="str">
        <f t="shared" si="105"/>
        <v/>
      </c>
      <c r="BI134" s="224" t="str">
        <f t="shared" si="105"/>
        <v/>
      </c>
      <c r="BJ134" s="224" t="str">
        <f t="shared" si="105"/>
        <v/>
      </c>
      <c r="BK134" s="224" t="str">
        <f t="shared" si="105"/>
        <v/>
      </c>
      <c r="BL134" s="224" t="str">
        <f t="shared" si="105"/>
        <v/>
      </c>
      <c r="BM134" s="224" t="str">
        <f t="shared" si="105"/>
        <v/>
      </c>
      <c r="BN134" s="224" t="str">
        <f t="shared" si="105"/>
        <v/>
      </c>
      <c r="BO134" s="224" t="str">
        <f t="shared" si="105"/>
        <v/>
      </c>
      <c r="BP134" s="224" t="str">
        <f t="shared" si="105"/>
        <v/>
      </c>
    </row>
    <row r="135" spans="56:68" ht="18.95" customHeight="1" x14ac:dyDescent="0.15">
      <c r="BD135" s="214" t="s">
        <v>163</v>
      </c>
      <c r="BE135" s="226" t="str">
        <f t="shared" ref="BE135:BP135" si="106">IF(AO14="","",ROUND(SUM($AK14:$AL15)/12,0))</f>
        <v/>
      </c>
      <c r="BF135" s="226" t="str">
        <f t="shared" si="106"/>
        <v/>
      </c>
      <c r="BG135" s="226" t="str">
        <f t="shared" si="106"/>
        <v/>
      </c>
      <c r="BH135" s="226" t="str">
        <f t="shared" si="106"/>
        <v/>
      </c>
      <c r="BI135" s="226" t="str">
        <f t="shared" si="106"/>
        <v/>
      </c>
      <c r="BJ135" s="226" t="str">
        <f t="shared" si="106"/>
        <v/>
      </c>
      <c r="BK135" s="226" t="str">
        <f t="shared" si="106"/>
        <v/>
      </c>
      <c r="BL135" s="226" t="str">
        <f t="shared" si="106"/>
        <v/>
      </c>
      <c r="BM135" s="226" t="str">
        <f t="shared" si="106"/>
        <v/>
      </c>
      <c r="BN135" s="226" t="str">
        <f t="shared" si="106"/>
        <v/>
      </c>
      <c r="BO135" s="226" t="str">
        <f t="shared" si="106"/>
        <v/>
      </c>
      <c r="BP135" s="226" t="str">
        <f t="shared" si="106"/>
        <v/>
      </c>
    </row>
    <row r="136" spans="56:68" ht="18.95" customHeight="1" x14ac:dyDescent="0.15">
      <c r="BD136" s="213" t="s">
        <v>164</v>
      </c>
      <c r="BE136" s="224" t="str">
        <f t="shared" ref="BE136:BP136" si="107">IF(AO16="","",ROUND((SUM($AI16:$AJ17)/12),0))</f>
        <v/>
      </c>
      <c r="BF136" s="224" t="str">
        <f t="shared" si="107"/>
        <v/>
      </c>
      <c r="BG136" s="224" t="str">
        <f t="shared" si="107"/>
        <v/>
      </c>
      <c r="BH136" s="224" t="str">
        <f t="shared" si="107"/>
        <v/>
      </c>
      <c r="BI136" s="224" t="str">
        <f t="shared" si="107"/>
        <v/>
      </c>
      <c r="BJ136" s="224" t="str">
        <f t="shared" si="107"/>
        <v/>
      </c>
      <c r="BK136" s="224" t="str">
        <f t="shared" si="107"/>
        <v/>
      </c>
      <c r="BL136" s="224" t="str">
        <f t="shared" si="107"/>
        <v/>
      </c>
      <c r="BM136" s="224" t="str">
        <f t="shared" si="107"/>
        <v/>
      </c>
      <c r="BN136" s="224" t="str">
        <f t="shared" si="107"/>
        <v/>
      </c>
      <c r="BO136" s="224" t="str">
        <f t="shared" si="107"/>
        <v/>
      </c>
      <c r="BP136" s="224" t="str">
        <f t="shared" si="107"/>
        <v/>
      </c>
    </row>
    <row r="137" spans="56:68" ht="18.95" customHeight="1" x14ac:dyDescent="0.15">
      <c r="BD137" s="214" t="s">
        <v>165</v>
      </c>
      <c r="BE137" s="226" t="str">
        <f t="shared" ref="BE137:BP137" si="108">IF(AO16="","",ROUND(SUM($AK16:$AL17)/12,0))</f>
        <v/>
      </c>
      <c r="BF137" s="226" t="str">
        <f t="shared" si="108"/>
        <v/>
      </c>
      <c r="BG137" s="226" t="str">
        <f t="shared" si="108"/>
        <v/>
      </c>
      <c r="BH137" s="226" t="str">
        <f t="shared" si="108"/>
        <v/>
      </c>
      <c r="BI137" s="226" t="str">
        <f t="shared" si="108"/>
        <v/>
      </c>
      <c r="BJ137" s="226" t="str">
        <f t="shared" si="108"/>
        <v/>
      </c>
      <c r="BK137" s="226" t="str">
        <f t="shared" si="108"/>
        <v/>
      </c>
      <c r="BL137" s="226" t="str">
        <f t="shared" si="108"/>
        <v/>
      </c>
      <c r="BM137" s="226" t="str">
        <f t="shared" si="108"/>
        <v/>
      </c>
      <c r="BN137" s="226" t="str">
        <f t="shared" si="108"/>
        <v/>
      </c>
      <c r="BO137" s="226" t="str">
        <f t="shared" si="108"/>
        <v/>
      </c>
      <c r="BP137" s="226" t="str">
        <f t="shared" si="108"/>
        <v/>
      </c>
    </row>
    <row r="138" spans="56:68" ht="18.95" customHeight="1" x14ac:dyDescent="0.15">
      <c r="BD138" s="213" t="s">
        <v>167</v>
      </c>
      <c r="BE138" s="224" t="str">
        <f t="shared" ref="BE138:BP138" si="109">IF(AO18="","",ROUND((SUM($AI18:$AJ19)/12),0))</f>
        <v/>
      </c>
      <c r="BF138" s="224" t="str">
        <f t="shared" si="109"/>
        <v/>
      </c>
      <c r="BG138" s="224" t="str">
        <f t="shared" si="109"/>
        <v/>
      </c>
      <c r="BH138" s="224" t="str">
        <f t="shared" si="109"/>
        <v/>
      </c>
      <c r="BI138" s="224" t="str">
        <f t="shared" si="109"/>
        <v/>
      </c>
      <c r="BJ138" s="224" t="str">
        <f t="shared" si="109"/>
        <v/>
      </c>
      <c r="BK138" s="224" t="str">
        <f t="shared" si="109"/>
        <v/>
      </c>
      <c r="BL138" s="224" t="str">
        <f t="shared" si="109"/>
        <v/>
      </c>
      <c r="BM138" s="224" t="str">
        <f t="shared" si="109"/>
        <v/>
      </c>
      <c r="BN138" s="224" t="str">
        <f t="shared" si="109"/>
        <v/>
      </c>
      <c r="BO138" s="224" t="str">
        <f t="shared" si="109"/>
        <v/>
      </c>
      <c r="BP138" s="224" t="str">
        <f t="shared" si="109"/>
        <v/>
      </c>
    </row>
    <row r="139" spans="56:68" ht="18.95" customHeight="1" x14ac:dyDescent="0.15">
      <c r="BD139" s="214" t="s">
        <v>168</v>
      </c>
      <c r="BE139" s="226" t="str">
        <f t="shared" ref="BE139:BP139" si="110">IF(AO18="","",ROUND(SUM($AK18:$AL19)/12,0))</f>
        <v/>
      </c>
      <c r="BF139" s="226" t="str">
        <f t="shared" si="110"/>
        <v/>
      </c>
      <c r="BG139" s="226" t="str">
        <f t="shared" si="110"/>
        <v/>
      </c>
      <c r="BH139" s="226" t="str">
        <f t="shared" si="110"/>
        <v/>
      </c>
      <c r="BI139" s="226" t="str">
        <f t="shared" si="110"/>
        <v/>
      </c>
      <c r="BJ139" s="226" t="str">
        <f t="shared" si="110"/>
        <v/>
      </c>
      <c r="BK139" s="226" t="str">
        <f t="shared" si="110"/>
        <v/>
      </c>
      <c r="BL139" s="226" t="str">
        <f t="shared" si="110"/>
        <v/>
      </c>
      <c r="BM139" s="226" t="str">
        <f t="shared" si="110"/>
        <v/>
      </c>
      <c r="BN139" s="226" t="str">
        <f t="shared" si="110"/>
        <v/>
      </c>
      <c r="BO139" s="226" t="str">
        <f t="shared" si="110"/>
        <v/>
      </c>
      <c r="BP139" s="226" t="str">
        <f t="shared" si="110"/>
        <v/>
      </c>
    </row>
    <row r="140" spans="56:68" ht="18.95" customHeight="1" x14ac:dyDescent="0.15">
      <c r="BD140" s="202" t="s">
        <v>37</v>
      </c>
      <c r="BE140" s="133">
        <f t="shared" ref="BE140:BP141" si="111">SUM(BE124,BE126,BE128,BE130,BE132,BE134,BE136,BE138)</f>
        <v>0</v>
      </c>
      <c r="BF140" s="133">
        <f t="shared" si="111"/>
        <v>0</v>
      </c>
      <c r="BG140" s="133">
        <f t="shared" si="111"/>
        <v>0</v>
      </c>
      <c r="BH140" s="133">
        <f t="shared" si="111"/>
        <v>0</v>
      </c>
      <c r="BI140" s="133">
        <f t="shared" si="111"/>
        <v>0</v>
      </c>
      <c r="BJ140" s="133">
        <f t="shared" si="111"/>
        <v>0</v>
      </c>
      <c r="BK140" s="133">
        <f t="shared" si="111"/>
        <v>0</v>
      </c>
      <c r="BL140" s="133">
        <f t="shared" si="111"/>
        <v>0</v>
      </c>
      <c r="BM140" s="133">
        <f t="shared" si="111"/>
        <v>0</v>
      </c>
      <c r="BN140" s="133">
        <f t="shared" si="111"/>
        <v>0</v>
      </c>
      <c r="BO140" s="133">
        <f t="shared" si="111"/>
        <v>0</v>
      </c>
      <c r="BP140" s="133">
        <f t="shared" si="111"/>
        <v>0</v>
      </c>
    </row>
    <row r="141" spans="56:68" ht="18.95" customHeight="1" x14ac:dyDescent="0.15">
      <c r="BD141" s="202" t="s">
        <v>169</v>
      </c>
      <c r="BE141" s="133">
        <f t="shared" si="111"/>
        <v>0</v>
      </c>
      <c r="BF141" s="133">
        <f t="shared" si="111"/>
        <v>0</v>
      </c>
      <c r="BG141" s="133">
        <f t="shared" si="111"/>
        <v>0</v>
      </c>
      <c r="BH141" s="133">
        <f t="shared" si="111"/>
        <v>0</v>
      </c>
      <c r="BI141" s="133">
        <f t="shared" si="111"/>
        <v>0</v>
      </c>
      <c r="BJ141" s="133">
        <f t="shared" si="111"/>
        <v>0</v>
      </c>
      <c r="BK141" s="133">
        <f t="shared" si="111"/>
        <v>0</v>
      </c>
      <c r="BL141" s="133">
        <f t="shared" si="111"/>
        <v>0</v>
      </c>
      <c r="BM141" s="133">
        <f t="shared" si="111"/>
        <v>0</v>
      </c>
      <c r="BN141" s="133">
        <f t="shared" si="111"/>
        <v>0</v>
      </c>
      <c r="BO141" s="133">
        <f t="shared" si="111"/>
        <v>0</v>
      </c>
      <c r="BP141" s="133">
        <f t="shared" si="111"/>
        <v>0</v>
      </c>
    </row>
    <row r="142" spans="56:68" ht="18.95" customHeight="1" x14ac:dyDescent="0.15">
      <c r="BD142" s="158" t="s">
        <v>56</v>
      </c>
      <c r="BE142" s="133">
        <f t="shared" ref="BE142:BP142" si="112">SUM(BE140:BE141)</f>
        <v>0</v>
      </c>
      <c r="BF142" s="133">
        <f t="shared" si="112"/>
        <v>0</v>
      </c>
      <c r="BG142" s="133">
        <f t="shared" si="112"/>
        <v>0</v>
      </c>
      <c r="BH142" s="133">
        <f t="shared" si="112"/>
        <v>0</v>
      </c>
      <c r="BI142" s="133">
        <f t="shared" si="112"/>
        <v>0</v>
      </c>
      <c r="BJ142" s="133">
        <f t="shared" si="112"/>
        <v>0</v>
      </c>
      <c r="BK142" s="133">
        <f t="shared" si="112"/>
        <v>0</v>
      </c>
      <c r="BL142" s="133">
        <f t="shared" si="112"/>
        <v>0</v>
      </c>
      <c r="BM142" s="133">
        <f t="shared" si="112"/>
        <v>0</v>
      </c>
      <c r="BN142" s="133">
        <f t="shared" si="112"/>
        <v>0</v>
      </c>
      <c r="BO142" s="133">
        <f t="shared" si="112"/>
        <v>0</v>
      </c>
      <c r="BP142" s="133">
        <f t="shared" si="112"/>
        <v>0</v>
      </c>
    </row>
  </sheetData>
  <sheetProtection password="CC2D" sheet="1" objects="1" scenarios="1"/>
  <mergeCells count="392">
    <mergeCell ref="X81:X82"/>
    <mergeCell ref="Y81:Y82"/>
    <mergeCell ref="AL18:AL19"/>
    <mergeCell ref="AM18:AM19"/>
    <mergeCell ref="P24:P28"/>
    <mergeCell ref="X24:X25"/>
    <mergeCell ref="Y24:Y25"/>
    <mergeCell ref="P29:P33"/>
    <mergeCell ref="L31:L32"/>
    <mergeCell ref="M31:M32"/>
    <mergeCell ref="P34:P38"/>
    <mergeCell ref="AC18:AC19"/>
    <mergeCell ref="AD18:AD19"/>
    <mergeCell ref="AE18:AE19"/>
    <mergeCell ref="AF18:AF19"/>
    <mergeCell ref="AG18:AG19"/>
    <mergeCell ref="AH18:AH19"/>
    <mergeCell ref="AI18:AI19"/>
    <mergeCell ref="AJ18:AJ19"/>
    <mergeCell ref="AK18:AK19"/>
    <mergeCell ref="T18:T19"/>
    <mergeCell ref="U18:U19"/>
    <mergeCell ref="V18:V19"/>
    <mergeCell ref="W18:W19"/>
    <mergeCell ref="X18:X19"/>
    <mergeCell ref="Y18:Y19"/>
    <mergeCell ref="Z18:Z19"/>
    <mergeCell ref="AA18:AA19"/>
    <mergeCell ref="AB18:AB19"/>
    <mergeCell ref="AI16:AI17"/>
    <mergeCell ref="AJ16:AJ17"/>
    <mergeCell ref="AK16:AK17"/>
    <mergeCell ref="AL16:AL17"/>
    <mergeCell ref="AD16:AD17"/>
    <mergeCell ref="AE16:AE17"/>
    <mergeCell ref="AF16:AF17"/>
    <mergeCell ref="AG16:AG17"/>
    <mergeCell ref="AH16:AH17"/>
    <mergeCell ref="AM16:AM17"/>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Z16:Z17"/>
    <mergeCell ref="AA16:AA17"/>
    <mergeCell ref="AB16:AB17"/>
    <mergeCell ref="AC16:AC17"/>
    <mergeCell ref="Q16:Q17"/>
    <mergeCell ref="R16:R17"/>
    <mergeCell ref="S16:S17"/>
    <mergeCell ref="T16:T17"/>
    <mergeCell ref="U16:U17"/>
    <mergeCell ref="V16:V17"/>
    <mergeCell ref="W16:W17"/>
    <mergeCell ref="X16:X17"/>
    <mergeCell ref="Y16:Y17"/>
    <mergeCell ref="AF14:AF15"/>
    <mergeCell ref="AG14:AG15"/>
    <mergeCell ref="AH14:AH15"/>
    <mergeCell ref="AI14:AI15"/>
    <mergeCell ref="AJ14:AJ15"/>
    <mergeCell ref="AK14:AK15"/>
    <mergeCell ref="AL14:AL15"/>
    <mergeCell ref="AM14:AM15"/>
    <mergeCell ref="A16:A17"/>
    <mergeCell ref="B16:B17"/>
    <mergeCell ref="C16:C17"/>
    <mergeCell ref="D16:D17"/>
    <mergeCell ref="E16:E17"/>
    <mergeCell ref="F16:F17"/>
    <mergeCell ref="G16:G17"/>
    <mergeCell ref="H16:H17"/>
    <mergeCell ref="I16:I17"/>
    <mergeCell ref="J16:J17"/>
    <mergeCell ref="K16:K17"/>
    <mergeCell ref="L16:L17"/>
    <mergeCell ref="M16:M17"/>
    <mergeCell ref="N16:N17"/>
    <mergeCell ref="O16:O17"/>
    <mergeCell ref="P16:P17"/>
    <mergeCell ref="W14:W15"/>
    <mergeCell ref="X14:X15"/>
    <mergeCell ref="Y14:Y15"/>
    <mergeCell ref="Z14:Z15"/>
    <mergeCell ref="AA14:AA15"/>
    <mergeCell ref="AB14:AB15"/>
    <mergeCell ref="AC14:AC15"/>
    <mergeCell ref="AD14:AD15"/>
    <mergeCell ref="AE14:AE15"/>
    <mergeCell ref="AL12:AL13"/>
    <mergeCell ref="AM12:AM13"/>
    <mergeCell ref="A14:A15"/>
    <mergeCell ref="B14:B15"/>
    <mergeCell ref="C14:C15"/>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U14:U15"/>
    <mergeCell ref="V14:V15"/>
    <mergeCell ref="AC12:AC13"/>
    <mergeCell ref="AD12:AD13"/>
    <mergeCell ref="AE12:AE13"/>
    <mergeCell ref="AF12:AF13"/>
    <mergeCell ref="AG12:AG13"/>
    <mergeCell ref="AH12:AH13"/>
    <mergeCell ref="AI12:AI13"/>
    <mergeCell ref="AJ12:AJ13"/>
    <mergeCell ref="AK12:AK13"/>
    <mergeCell ref="T12:T13"/>
    <mergeCell ref="U12:U13"/>
    <mergeCell ref="V12:V13"/>
    <mergeCell ref="W12:W13"/>
    <mergeCell ref="X12:X13"/>
    <mergeCell ref="Y12:Y13"/>
    <mergeCell ref="Z12:Z13"/>
    <mergeCell ref="AA12:AA13"/>
    <mergeCell ref="AB12:AB13"/>
    <mergeCell ref="AI10:AI11"/>
    <mergeCell ref="AJ10:AJ11"/>
    <mergeCell ref="AK10:AK11"/>
    <mergeCell ref="AL10:AL11"/>
    <mergeCell ref="AM10:AM11"/>
    <mergeCell ref="A12:A13"/>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P12:P13"/>
    <mergeCell ref="Q12:Q13"/>
    <mergeCell ref="R12:R13"/>
    <mergeCell ref="S12:S13"/>
    <mergeCell ref="Z10:Z11"/>
    <mergeCell ref="AA10:AA11"/>
    <mergeCell ref="AB10:AB11"/>
    <mergeCell ref="AC10:AC11"/>
    <mergeCell ref="AD10:AD11"/>
    <mergeCell ref="AE10:AE11"/>
    <mergeCell ref="AF10:AF11"/>
    <mergeCell ref="AG10:AG11"/>
    <mergeCell ref="AH10:AH11"/>
    <mergeCell ref="Q10:Q11"/>
    <mergeCell ref="R10:R11"/>
    <mergeCell ref="S10:S11"/>
    <mergeCell ref="T10:T11"/>
    <mergeCell ref="U10:U11"/>
    <mergeCell ref="V10:V11"/>
    <mergeCell ref="W10:W11"/>
    <mergeCell ref="X10:X11"/>
    <mergeCell ref="Y10:Y11"/>
    <mergeCell ref="AF8:AF9"/>
    <mergeCell ref="AG8:AG9"/>
    <mergeCell ref="AH8:AH9"/>
    <mergeCell ref="AI8:AI9"/>
    <mergeCell ref="AJ8:AJ9"/>
    <mergeCell ref="AK8:AK9"/>
    <mergeCell ref="AL8:AL9"/>
    <mergeCell ref="AM8:AM9"/>
    <mergeCell ref="A10:A11"/>
    <mergeCell ref="B10:B11"/>
    <mergeCell ref="C10:C11"/>
    <mergeCell ref="D10:D11"/>
    <mergeCell ref="E10:E11"/>
    <mergeCell ref="F10:F11"/>
    <mergeCell ref="G10:G11"/>
    <mergeCell ref="H10:H11"/>
    <mergeCell ref="I10:I11"/>
    <mergeCell ref="J10:J11"/>
    <mergeCell ref="K10:K11"/>
    <mergeCell ref="L10:L11"/>
    <mergeCell ref="M10:M11"/>
    <mergeCell ref="N10:N11"/>
    <mergeCell ref="O10:O11"/>
    <mergeCell ref="P10:P11"/>
    <mergeCell ref="W8:W9"/>
    <mergeCell ref="X8:X9"/>
    <mergeCell ref="Y8:Y9"/>
    <mergeCell ref="Z8:Z9"/>
    <mergeCell ref="AA8:AA9"/>
    <mergeCell ref="AB8:AB9"/>
    <mergeCell ref="AC8:AC9"/>
    <mergeCell ref="AD8:AD9"/>
    <mergeCell ref="AE8:AE9"/>
    <mergeCell ref="AL6:AL7"/>
    <mergeCell ref="AM6:AM7"/>
    <mergeCell ref="A8:A9"/>
    <mergeCell ref="B8:B9"/>
    <mergeCell ref="C8:C9"/>
    <mergeCell ref="D8:D9"/>
    <mergeCell ref="E8:E9"/>
    <mergeCell ref="F8:F9"/>
    <mergeCell ref="G8:G9"/>
    <mergeCell ref="H8:H9"/>
    <mergeCell ref="I8:I9"/>
    <mergeCell ref="J8:J9"/>
    <mergeCell ref="K8:K9"/>
    <mergeCell ref="L8:L9"/>
    <mergeCell ref="M8:M9"/>
    <mergeCell ref="N8:N9"/>
    <mergeCell ref="O8:O9"/>
    <mergeCell ref="P8:P9"/>
    <mergeCell ref="Q8:Q9"/>
    <mergeCell ref="R8:R9"/>
    <mergeCell ref="S8:S9"/>
    <mergeCell ref="T8:T9"/>
    <mergeCell ref="U8:U9"/>
    <mergeCell ref="V8:V9"/>
    <mergeCell ref="AC6:AC7"/>
    <mergeCell ref="AD6:AD7"/>
    <mergeCell ref="AE6:AE7"/>
    <mergeCell ref="AF6:AF7"/>
    <mergeCell ref="AG6:AG7"/>
    <mergeCell ref="AH6:AH7"/>
    <mergeCell ref="AI6:AI7"/>
    <mergeCell ref="AJ6:AJ7"/>
    <mergeCell ref="AK6:AK7"/>
    <mergeCell ref="T6:T7"/>
    <mergeCell ref="U6:U7"/>
    <mergeCell ref="V6:V7"/>
    <mergeCell ref="W6:W7"/>
    <mergeCell ref="X6:X7"/>
    <mergeCell ref="Y6:Y7"/>
    <mergeCell ref="Z6:Z7"/>
    <mergeCell ref="AA6:AA7"/>
    <mergeCell ref="AB6:AB7"/>
    <mergeCell ref="A6:A7"/>
    <mergeCell ref="B6:B7"/>
    <mergeCell ref="C6:C7"/>
    <mergeCell ref="D6:D7"/>
    <mergeCell ref="E6:E7"/>
    <mergeCell ref="F6:F7"/>
    <mergeCell ref="G6:G7"/>
    <mergeCell ref="H6:H7"/>
    <mergeCell ref="I6:I7"/>
    <mergeCell ref="BB2:BB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77:Y77"/>
    <mergeCell ref="Z81:AL81"/>
    <mergeCell ref="X91:Y91"/>
    <mergeCell ref="X94:Y94"/>
    <mergeCell ref="A2:A3"/>
    <mergeCell ref="B2:B3"/>
    <mergeCell ref="M2:M3"/>
    <mergeCell ref="N2:N3"/>
    <mergeCell ref="O2:O3"/>
    <mergeCell ref="P2:P3"/>
    <mergeCell ref="Q2:Q3"/>
    <mergeCell ref="R2:R3"/>
    <mergeCell ref="S2:S3"/>
    <mergeCell ref="X4:X5"/>
    <mergeCell ref="Y4:Y5"/>
    <mergeCell ref="Z4:Z5"/>
    <mergeCell ref="AA4:AA5"/>
    <mergeCell ref="AB4:AB5"/>
    <mergeCell ref="AC4:AC5"/>
    <mergeCell ref="AD4:AD5"/>
    <mergeCell ref="AE4:AE5"/>
    <mergeCell ref="AF4:AF5"/>
    <mergeCell ref="AG4:AG5"/>
    <mergeCell ref="AH4:AH5"/>
    <mergeCell ref="R42:T42"/>
    <mergeCell ref="R43:T43"/>
    <mergeCell ref="P44:Q44"/>
    <mergeCell ref="R44:T44"/>
    <mergeCell ref="X49:Y49"/>
    <mergeCell ref="AW50:AY50"/>
    <mergeCell ref="Z53:AL53"/>
    <mergeCell ref="X63:Y63"/>
    <mergeCell ref="Z67:AL67"/>
    <mergeCell ref="P39:P43"/>
    <mergeCell ref="X39:X40"/>
    <mergeCell ref="Y39:Y40"/>
    <mergeCell ref="P47:V50"/>
    <mergeCell ref="L52:T57"/>
    <mergeCell ref="X53:X54"/>
    <mergeCell ref="Y53:Y54"/>
    <mergeCell ref="L60:T63"/>
    <mergeCell ref="X67:X68"/>
    <mergeCell ref="Y67:Y68"/>
    <mergeCell ref="R35:T35"/>
    <mergeCell ref="AC35:AD35"/>
    <mergeCell ref="R36:T36"/>
    <mergeCell ref="R37:T37"/>
    <mergeCell ref="R38:T38"/>
    <mergeCell ref="R39:T39"/>
    <mergeCell ref="Z39:AL39"/>
    <mergeCell ref="R40:T40"/>
    <mergeCell ref="R41:T41"/>
    <mergeCell ref="R30:T30"/>
    <mergeCell ref="AD30:AE30"/>
    <mergeCell ref="R31:T31"/>
    <mergeCell ref="AD31:AE31"/>
    <mergeCell ref="R32:T32"/>
    <mergeCell ref="AD32:AE32"/>
    <mergeCell ref="R33:T33"/>
    <mergeCell ref="AD33:AE33"/>
    <mergeCell ref="R34:T34"/>
    <mergeCell ref="AD34:AE34"/>
    <mergeCell ref="R25:T25"/>
    <mergeCell ref="AD25:AE25"/>
    <mergeCell ref="R26:T26"/>
    <mergeCell ref="AD26:AE26"/>
    <mergeCell ref="R27:T27"/>
    <mergeCell ref="AD27:AE27"/>
    <mergeCell ref="R28:T28"/>
    <mergeCell ref="AD28:AE28"/>
    <mergeCell ref="R29:T29"/>
    <mergeCell ref="AD29:AE29"/>
    <mergeCell ref="C2:H2"/>
    <mergeCell ref="I2:L2"/>
    <mergeCell ref="T2:X2"/>
    <mergeCell ref="Y2:AC2"/>
    <mergeCell ref="AD2:AH2"/>
    <mergeCell ref="AI2:AM2"/>
    <mergeCell ref="AN2:AZ2"/>
    <mergeCell ref="R24:T24"/>
    <mergeCell ref="Z24:AE24"/>
    <mergeCell ref="AI4:AI5"/>
    <mergeCell ref="AJ4:AJ5"/>
    <mergeCell ref="AK4:AK5"/>
    <mergeCell ref="AL4:AL5"/>
    <mergeCell ref="AM4:AM5"/>
    <mergeCell ref="J6:J7"/>
    <mergeCell ref="K6:K7"/>
    <mergeCell ref="L6:L7"/>
    <mergeCell ref="M6:M7"/>
    <mergeCell ref="N6:N7"/>
    <mergeCell ref="O6:O7"/>
    <mergeCell ref="P6:P7"/>
    <mergeCell ref="Q6:Q7"/>
    <mergeCell ref="R6:R7"/>
    <mergeCell ref="S6:S7"/>
  </mergeCells>
  <phoneticPr fontId="1"/>
  <conditionalFormatting sqref="L35:M35">
    <cfRule type="expression" dxfId="48" priority="54">
      <formula>$M$35&lt;&gt;""</formula>
    </cfRule>
  </conditionalFormatting>
  <conditionalFormatting sqref="L52:T57">
    <cfRule type="expression" dxfId="47" priority="53">
      <formula>$L$52&lt;&gt;""</formula>
    </cfRule>
  </conditionalFormatting>
  <conditionalFormatting sqref="X26:Y26 X41:Y41 X55:Y55 X69:Y69">
    <cfRule type="expression" dxfId="45" priority="127" stopIfTrue="1">
      <formula>$X$26="擬　主"</formula>
    </cfRule>
  </conditionalFormatting>
  <conditionalFormatting sqref="X83:Y83">
    <cfRule type="expression" dxfId="44" priority="14" stopIfTrue="1">
      <formula>$X$26="擬　主"</formula>
    </cfRule>
  </conditionalFormatting>
  <conditionalFormatting sqref="Z26">
    <cfRule type="expression" dxfId="43" priority="125" stopIfTrue="1">
      <formula>$V$4=""</formula>
    </cfRule>
  </conditionalFormatting>
  <conditionalFormatting sqref="Z41 Z55 Z83">
    <cfRule type="expression" dxfId="42" priority="49">
      <formula>AND($AO$4="",$AO$20&lt;&gt;"")</formula>
    </cfRule>
  </conditionalFormatting>
  <conditionalFormatting sqref="Z69">
    <cfRule type="expression" dxfId="41" priority="37">
      <formula>AND($AO$5="",$AO$21&lt;&gt;"")</formula>
    </cfRule>
  </conditionalFormatting>
  <conditionalFormatting sqref="AA26">
    <cfRule type="expression" dxfId="40" priority="126" stopIfTrue="1">
      <formula>$AA$4=""</formula>
    </cfRule>
  </conditionalFormatting>
  <conditionalFormatting sqref="AA41 AA55 AA83">
    <cfRule type="expression" dxfId="39" priority="48">
      <formula>AND($AP$4="",$AP$20&lt;&gt;"")</formula>
    </cfRule>
  </conditionalFormatting>
  <conditionalFormatting sqref="AA69">
    <cfRule type="expression" dxfId="38" priority="36">
      <formula>AND($AP$5="",$AP$21&lt;&gt;"")</formula>
    </cfRule>
  </conditionalFormatting>
  <conditionalFormatting sqref="AB26">
    <cfRule type="expression" dxfId="37" priority="128" stopIfTrue="1">
      <formula>AND($AF$4="",$AG$4&lt;&gt;"")</formula>
    </cfRule>
  </conditionalFormatting>
  <conditionalFormatting sqref="AB41 AB55 AB83">
    <cfRule type="expression" dxfId="36" priority="47">
      <formula>AND($AQ$4="",$AQ$20&lt;&gt;"")</formula>
    </cfRule>
  </conditionalFormatting>
  <conditionalFormatting sqref="AB69">
    <cfRule type="expression" dxfId="35" priority="35">
      <formula>AND($AQ$5="",$AQ$21&lt;&gt;"")</formula>
    </cfRule>
  </conditionalFormatting>
  <conditionalFormatting sqref="AC26">
    <cfRule type="expression" dxfId="34" priority="16" stopIfTrue="1">
      <formula>$AK$4=""</formula>
    </cfRule>
  </conditionalFormatting>
  <conditionalFormatting sqref="AC41 AC55 AC83">
    <cfRule type="expression" dxfId="33" priority="46">
      <formula>AND($AR$4="",$AR$20&lt;&gt;"")</formula>
    </cfRule>
  </conditionalFormatting>
  <conditionalFormatting sqref="AC69">
    <cfRule type="expression" dxfId="32" priority="34">
      <formula>AND($AR$5="",$AR$21&lt;&gt;"")</formula>
    </cfRule>
  </conditionalFormatting>
  <conditionalFormatting sqref="AD38 AD52">
    <cfRule type="expression" dxfId="31" priority="25">
      <formula>$AN$4=$AN$20</formula>
    </cfRule>
  </conditionalFormatting>
  <conditionalFormatting sqref="AD41 AD55 AD83">
    <cfRule type="expression" dxfId="30" priority="45">
      <formula>AND($AS$4="",$AS$20&lt;&gt;"")</formula>
    </cfRule>
  </conditionalFormatting>
  <conditionalFormatting sqref="AD66">
    <cfRule type="expression" dxfId="29" priority="24">
      <formula>$AN$5=$AN$21</formula>
    </cfRule>
  </conditionalFormatting>
  <conditionalFormatting sqref="AD69">
    <cfRule type="expression" dxfId="28" priority="33">
      <formula>AND($AS$5="",$AS$21&lt;&gt;"")</formula>
    </cfRule>
  </conditionalFormatting>
  <conditionalFormatting sqref="AD80">
    <cfRule type="expression" dxfId="27" priority="1">
      <formula>$AN$5=$AN$21</formula>
    </cfRule>
  </conditionalFormatting>
  <conditionalFormatting sqref="AE41 AE55 AE83">
    <cfRule type="expression" dxfId="26" priority="44">
      <formula>AND($AT$4="",$AT$20&lt;&gt;"")</formula>
    </cfRule>
  </conditionalFormatting>
  <conditionalFormatting sqref="AE69">
    <cfRule type="expression" dxfId="25" priority="32">
      <formula>AND($AT$5="",$AT$21&lt;&gt;"")</formula>
    </cfRule>
  </conditionalFormatting>
  <conditionalFormatting sqref="AF41 AF55 AF83">
    <cfRule type="expression" dxfId="24" priority="43">
      <formula>AND($AU$4="",$AU$20&lt;&gt;"")</formula>
    </cfRule>
  </conditionalFormatting>
  <conditionalFormatting sqref="AF69">
    <cfRule type="expression" dxfId="23" priority="31">
      <formula>AND($AU$5="",$AU$21&lt;&gt;"")</formula>
    </cfRule>
  </conditionalFormatting>
  <conditionalFormatting sqref="AG41 AG55 AG83">
    <cfRule type="expression" dxfId="22" priority="42">
      <formula>AND($AV$4="",$AV$20&lt;&gt;"")</formula>
    </cfRule>
  </conditionalFormatting>
  <conditionalFormatting sqref="AG69">
    <cfRule type="expression" dxfId="21" priority="30">
      <formula>AND($AV$5="",$AV$21&lt;&gt;"")</formula>
    </cfRule>
  </conditionalFormatting>
  <conditionalFormatting sqref="AH41 AH55 AH83">
    <cfRule type="expression" dxfId="20" priority="41">
      <formula>AND($AW$4="",$AW$20&lt;&gt;"")</formula>
    </cfRule>
  </conditionalFormatting>
  <conditionalFormatting sqref="AH69">
    <cfRule type="expression" dxfId="19" priority="29">
      <formula>AND($AW$5="",$AW$21&lt;&gt;"")</formula>
    </cfRule>
  </conditionalFormatting>
  <conditionalFormatting sqref="AI41 AI55 AI83">
    <cfRule type="expression" dxfId="18" priority="40">
      <formula>AND($AX$4="",$AX$20&lt;&gt;"")</formula>
    </cfRule>
  </conditionalFormatting>
  <conditionalFormatting sqref="AI69">
    <cfRule type="expression" dxfId="17" priority="28">
      <formula>AND($AX$5="",$AX$21&lt;&gt;"")</formula>
    </cfRule>
  </conditionalFormatting>
  <conditionalFormatting sqref="AJ41 AJ55 AJ83">
    <cfRule type="expression" dxfId="16" priority="39">
      <formula>AND($AY$4="",$AY$20&lt;&gt;"")</formula>
    </cfRule>
  </conditionalFormatting>
  <conditionalFormatting sqref="AJ69">
    <cfRule type="expression" dxfId="15" priority="27">
      <formula>AND($AY$5="",$AY$21&lt;&gt;"")</formula>
    </cfRule>
  </conditionalFormatting>
  <conditionalFormatting sqref="AK41 AK55 AK83">
    <cfRule type="expression" dxfId="14" priority="38">
      <formula>AND($AZ$4="",$AZ$20&lt;&gt;"")</formula>
    </cfRule>
  </conditionalFormatting>
  <conditionalFormatting sqref="AK69">
    <cfRule type="expression" dxfId="13" priority="26">
      <formula>AND($AZ$5="",$AZ$21&lt;&gt;"")</formula>
    </cfRule>
  </conditionalFormatting>
  <conditionalFormatting sqref="BR28">
    <cfRule type="expression" dxfId="3" priority="20">
      <formula>ROUND(BQ28,0)&lt;&gt;BR28</formula>
    </cfRule>
  </conditionalFormatting>
  <conditionalFormatting sqref="BR33">
    <cfRule type="expression" dxfId="2" priority="19">
      <formula>ROUND(BQ33,0)&lt;&gt;BR33</formula>
    </cfRule>
  </conditionalFormatting>
  <conditionalFormatting sqref="BR38">
    <cfRule type="expression" dxfId="1" priority="18">
      <formula>ROUND(BQ38,0)&lt;&gt;BR38</formula>
    </cfRule>
  </conditionalFormatting>
  <conditionalFormatting sqref="BR43">
    <cfRule type="expression" dxfId="0" priority="15">
      <formula>ROUND(BQ43,0)&lt;&gt;BR43</formula>
    </cfRule>
  </conditionalFormatting>
  <pageMargins left="0.19685039370078741" right="3.937007874015748E-2" top="0.43" bottom="0.15748031496062992" header="0.2" footer="7.874015748031496E-2"/>
  <pageSetup paperSize="9" scale="33" orientation="landscape" r:id="rId1"/>
  <headerFooter alignWithMargins="0">
    <oddHeader>&amp;L&amp;"ＭＳ ゴシック,標準"&amp;36注意！！　　　この帳票は、市民に交付しないこと</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124" id="{2001B55F-8FB3-4A7B-B21C-E1D905FE115C}">
            <xm:f>入力!$C$25&lt;&gt;"軽減なし"</xm:f>
            <x14:dxf>
              <font>
                <b/>
                <i val="0"/>
                <color theme="0"/>
              </font>
              <fill>
                <patternFill patternType="solid">
                  <bgColor rgb="FFFF0000"/>
                </patternFill>
              </fill>
            </x14:dxf>
          </x14:cfRule>
          <xm:sqref>W3:W4 AB3:AB4 AL3:AL4 Q27:R27 Q32:R32 Q42:R42</xm:sqref>
        </x14:conditionalFormatting>
        <x14:conditionalFormatting xmlns:xm="http://schemas.microsoft.com/office/excel/2006/main">
          <x14:cfRule type="expression" priority="251" id="{E15913C3-3281-4A81-B75A-B2BCEFC7C922}">
            <xm:f>AND(入力!$H$25&lt;&gt;"",入力!$C$19="全員申告済み",$BB$4=$BB$20)</xm:f>
            <x14:dxf>
              <fill>
                <patternFill patternType="solid">
                  <bgColor rgb="FFFFFF00"/>
                </patternFill>
              </fill>
            </x14:dxf>
          </x14:cfRule>
          <xm:sqref>AN4:AZ4 BB4 Q4:S5</xm:sqref>
        </x14:conditionalFormatting>
        <x14:conditionalFormatting xmlns:xm="http://schemas.microsoft.com/office/excel/2006/main">
          <x14:cfRule type="expression" priority="73" id="{82D3D432-7894-49DD-9633-A79FBB61649A}">
            <xm:f>AND(入力!$H$25&lt;&gt;"",入力!$C$19="全員申告済み",$BB$6=$BB$20)</xm:f>
            <x14:dxf>
              <fill>
                <patternFill patternType="solid">
                  <bgColor rgb="FFFFFF00"/>
                </patternFill>
              </fill>
            </x14:dxf>
          </x14:cfRule>
          <xm:sqref>AN6:AZ6 BB6 Q6:S7</xm:sqref>
        </x14:conditionalFormatting>
        <x14:conditionalFormatting xmlns:xm="http://schemas.microsoft.com/office/excel/2006/main">
          <x14:cfRule type="expression" priority="72" id="{4FF53036-C196-4E2F-9ABC-52156D57F345}">
            <xm:f>AND(入力!$H$25&lt;&gt;"",入力!$C$19="全員申告済み",$BB$8=$BB$20)</xm:f>
            <x14:dxf>
              <fill>
                <patternFill patternType="solid">
                  <bgColor rgb="FFFFFF00"/>
                </patternFill>
              </fill>
            </x14:dxf>
          </x14:cfRule>
          <xm:sqref>AN8:AZ8 BB8 Q8:S9</xm:sqref>
        </x14:conditionalFormatting>
        <x14:conditionalFormatting xmlns:xm="http://schemas.microsoft.com/office/excel/2006/main">
          <x14:cfRule type="expression" priority="71" id="{94C65F0E-C5F1-4B1D-839A-4C14147015B3}">
            <xm:f>AND(入力!$H$25&lt;&gt;"",入力!$C$19="全員申告済み",$BB$10=$BB$20)</xm:f>
            <x14:dxf>
              <fill>
                <patternFill patternType="solid">
                  <bgColor rgb="FFFFFF00"/>
                </patternFill>
              </fill>
            </x14:dxf>
          </x14:cfRule>
          <xm:sqref>AN10:AZ10 BB10 Q10:S11</xm:sqref>
        </x14:conditionalFormatting>
        <x14:conditionalFormatting xmlns:xm="http://schemas.microsoft.com/office/excel/2006/main">
          <x14:cfRule type="expression" priority="70" id="{867362DD-139D-4D3D-A21C-B0B75DB64DFD}">
            <xm:f>AND(入力!$H$25&lt;&gt;"",入力!$C$19="全員申告済み",$BB$12=$BB$20)</xm:f>
            <x14:dxf>
              <fill>
                <patternFill patternType="solid">
                  <bgColor rgb="FFFFFF00"/>
                </patternFill>
              </fill>
            </x14:dxf>
          </x14:cfRule>
          <xm:sqref>AN12:AZ12 BB12 Q12:S13</xm:sqref>
        </x14:conditionalFormatting>
        <x14:conditionalFormatting xmlns:xm="http://schemas.microsoft.com/office/excel/2006/main">
          <x14:cfRule type="expression" priority="69" id="{E4EA4BDE-5140-463C-817B-2C15E731343C}">
            <xm:f>AND(入力!$H$25&lt;&gt;"",入力!$C$19="全員申告済み",$BB$14=$BB$20)</xm:f>
            <x14:dxf>
              <fill>
                <patternFill patternType="solid">
                  <bgColor rgb="FFFFFF00"/>
                </patternFill>
              </fill>
            </x14:dxf>
          </x14:cfRule>
          <xm:sqref>AN14:AZ14 BB14 Q14:S15</xm:sqref>
        </x14:conditionalFormatting>
        <x14:conditionalFormatting xmlns:xm="http://schemas.microsoft.com/office/excel/2006/main">
          <x14:cfRule type="expression" priority="68" id="{D02D6DF9-5C4E-4BAC-96F2-3194A7E0B454}">
            <xm:f>AND(入力!$H$25&lt;&gt;"",入力!$C$19="全員申告済み",$BB$16=$BB$20)</xm:f>
            <x14:dxf>
              <fill>
                <patternFill patternType="solid">
                  <bgColor rgb="FFFFFF00"/>
                </patternFill>
              </fill>
            </x14:dxf>
          </x14:cfRule>
          <xm:sqref>AN16:AZ16 BB16 Q16:S17</xm:sqref>
        </x14:conditionalFormatting>
        <x14:conditionalFormatting xmlns:xm="http://schemas.microsoft.com/office/excel/2006/main">
          <x14:cfRule type="expression" priority="67" id="{86E65D38-929D-47CB-87A1-5E158E84C297}">
            <xm:f>AND(入力!$H$25&lt;&gt;"",入力!$C$19="全員申告済み",$BB$18=$BB$20)</xm:f>
            <x14:dxf>
              <fill>
                <patternFill patternType="solid">
                  <bgColor rgb="FFFFFF00"/>
                </patternFill>
              </fill>
            </x14:dxf>
          </x14:cfRule>
          <xm:sqref>AN18:AZ18 BB18 Q18:S19</xm:sqref>
        </x14:conditionalFormatting>
        <x14:conditionalFormatting xmlns:xm="http://schemas.microsoft.com/office/excel/2006/main">
          <x14:cfRule type="expression" priority="66" id="{BC419BB1-FCAE-4F35-9CCC-DB3D72843ACC}">
            <xm:f>AND(入力!$H$25&lt;&gt;"",入力!$C$19="全員申告済み")</xm:f>
            <x14:dxf>
              <fill>
                <patternFill patternType="solid">
                  <bgColor rgb="FFFFFF00"/>
                </patternFill>
              </fill>
            </x14:dxf>
          </x14:cfRule>
          <xm:sqref>BB20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23"/>
  <sheetViews>
    <sheetView workbookViewId="0">
      <selection sqref="A1:B1"/>
    </sheetView>
  </sheetViews>
  <sheetFormatPr defaultRowHeight="13.5" x14ac:dyDescent="0.15"/>
  <cols>
    <col min="1" max="1" width="6.25" style="234" customWidth="1"/>
    <col min="2" max="2" width="20.875" style="234" customWidth="1"/>
    <col min="3" max="3" width="17.875" style="234" customWidth="1"/>
    <col min="4" max="4" width="9" style="234" customWidth="1"/>
    <col min="5" max="5" width="10.125" style="234" customWidth="1"/>
    <col min="6" max="7" width="9.75" style="234" bestFit="1" customWidth="1"/>
    <col min="8" max="8" width="6.375" style="234" customWidth="1"/>
    <col min="9" max="9" width="9" style="234" customWidth="1"/>
    <col min="10" max="10" width="21.75" style="234" customWidth="1"/>
    <col min="11" max="11" width="12.125" style="234" customWidth="1"/>
    <col min="12" max="12" width="9" style="234" customWidth="1"/>
    <col min="13" max="16384" width="9" style="234"/>
  </cols>
  <sheetData>
    <row r="1" spans="1:11" ht="21" x14ac:dyDescent="0.15">
      <c r="A1" s="415" t="s">
        <v>31</v>
      </c>
      <c r="B1" s="416"/>
      <c r="C1" s="236">
        <v>8</v>
      </c>
    </row>
    <row r="3" spans="1:11" ht="59.25" customHeight="1" x14ac:dyDescent="0.15">
      <c r="A3" s="417"/>
      <c r="B3" s="418"/>
      <c r="C3" s="237" t="s">
        <v>108</v>
      </c>
    </row>
    <row r="4" spans="1:11" ht="20.100000000000001" customHeight="1" x14ac:dyDescent="0.15">
      <c r="A4" s="414" t="s">
        <v>18</v>
      </c>
      <c r="B4" s="235" t="s">
        <v>10</v>
      </c>
      <c r="C4" s="238">
        <v>6.8</v>
      </c>
      <c r="E4" s="241"/>
      <c r="F4" s="242" t="s">
        <v>34</v>
      </c>
      <c r="G4" s="242" t="s">
        <v>23</v>
      </c>
      <c r="H4" s="242" t="s">
        <v>35</v>
      </c>
      <c r="J4" s="234" t="s">
        <v>203</v>
      </c>
    </row>
    <row r="5" spans="1:11" ht="20.100000000000001" customHeight="1" x14ac:dyDescent="0.15">
      <c r="A5" s="414"/>
      <c r="B5" s="235" t="s">
        <v>12</v>
      </c>
      <c r="C5" s="238">
        <v>0</v>
      </c>
      <c r="E5" s="424" t="s">
        <v>84</v>
      </c>
      <c r="F5" s="243">
        <v>430000</v>
      </c>
      <c r="G5" s="244"/>
      <c r="H5" s="246">
        <v>0.7</v>
      </c>
      <c r="J5" s="241" t="s">
        <v>221</v>
      </c>
      <c r="K5" s="245">
        <v>550000</v>
      </c>
    </row>
    <row r="6" spans="1:11" ht="20.100000000000001" customHeight="1" x14ac:dyDescent="0.15">
      <c r="A6" s="414"/>
      <c r="B6" s="235" t="s">
        <v>17</v>
      </c>
      <c r="C6" s="239">
        <v>27400</v>
      </c>
      <c r="E6" s="419"/>
      <c r="F6" s="243">
        <v>430000</v>
      </c>
      <c r="G6" s="245">
        <v>310000</v>
      </c>
      <c r="H6" s="246">
        <v>0.5</v>
      </c>
      <c r="J6" s="241" t="s">
        <v>82</v>
      </c>
      <c r="K6" s="245">
        <v>600000</v>
      </c>
    </row>
    <row r="7" spans="1:11" ht="20.100000000000001" customHeight="1" x14ac:dyDescent="0.15">
      <c r="A7" s="414"/>
      <c r="B7" s="235" t="s">
        <v>1</v>
      </c>
      <c r="C7" s="239">
        <v>21400</v>
      </c>
      <c r="E7" s="425"/>
      <c r="F7" s="243">
        <v>430000</v>
      </c>
      <c r="G7" s="245">
        <v>570000</v>
      </c>
      <c r="H7" s="246">
        <v>0.2</v>
      </c>
      <c r="J7" s="241" t="s">
        <v>222</v>
      </c>
      <c r="K7" s="245">
        <v>1250000</v>
      </c>
    </row>
    <row r="8" spans="1:11" ht="20.100000000000001" customHeight="1" x14ac:dyDescent="0.15">
      <c r="A8" s="414"/>
      <c r="B8" s="235" t="s">
        <v>13</v>
      </c>
      <c r="C8" s="240">
        <v>670000</v>
      </c>
    </row>
    <row r="9" spans="1:11" ht="20.100000000000001" customHeight="1" x14ac:dyDescent="0.15">
      <c r="A9" s="414" t="s">
        <v>21</v>
      </c>
      <c r="B9" s="235" t="s">
        <v>10</v>
      </c>
      <c r="C9" s="238">
        <v>2.5</v>
      </c>
      <c r="E9" s="419" t="s">
        <v>20</v>
      </c>
      <c r="F9" s="419"/>
      <c r="G9" s="243">
        <v>150000</v>
      </c>
    </row>
    <row r="10" spans="1:11" ht="20.100000000000001" customHeight="1" x14ac:dyDescent="0.15">
      <c r="A10" s="414"/>
      <c r="B10" s="235" t="s">
        <v>12</v>
      </c>
      <c r="C10" s="238">
        <v>0</v>
      </c>
    </row>
    <row r="11" spans="1:11" ht="20.100000000000001" customHeight="1" x14ac:dyDescent="0.15">
      <c r="A11" s="414"/>
      <c r="B11" s="235" t="s">
        <v>17</v>
      </c>
      <c r="C11" s="239">
        <v>9700</v>
      </c>
      <c r="E11" s="420" t="s">
        <v>122</v>
      </c>
      <c r="F11" s="421"/>
      <c r="G11" s="422"/>
      <c r="H11" s="246">
        <v>0.5</v>
      </c>
    </row>
    <row r="12" spans="1:11" ht="20.100000000000001" customHeight="1" x14ac:dyDescent="0.15">
      <c r="A12" s="414"/>
      <c r="B12" s="235" t="s">
        <v>1</v>
      </c>
      <c r="C12" s="239">
        <v>6900</v>
      </c>
    </row>
    <row r="13" spans="1:11" ht="20.100000000000001" customHeight="1" x14ac:dyDescent="0.15">
      <c r="A13" s="414"/>
      <c r="B13" s="235" t="s">
        <v>13</v>
      </c>
      <c r="C13" s="240">
        <v>260000</v>
      </c>
      <c r="E13" s="234" t="s">
        <v>32</v>
      </c>
    </row>
    <row r="14" spans="1:11" ht="20.100000000000001" customHeight="1" x14ac:dyDescent="0.15">
      <c r="A14" s="414" t="s">
        <v>16</v>
      </c>
      <c r="B14" s="235" t="s">
        <v>10</v>
      </c>
      <c r="C14" s="238">
        <v>2.1</v>
      </c>
      <c r="E14" s="420" t="s">
        <v>144</v>
      </c>
      <c r="F14" s="421"/>
      <c r="G14" s="423"/>
      <c r="H14" s="422"/>
      <c r="I14" s="247" t="s">
        <v>224</v>
      </c>
    </row>
    <row r="15" spans="1:11" ht="20.100000000000001" customHeight="1" x14ac:dyDescent="0.15">
      <c r="A15" s="414"/>
      <c r="B15" s="235" t="s">
        <v>12</v>
      </c>
      <c r="C15" s="238">
        <v>0</v>
      </c>
      <c r="E15" s="234" t="s">
        <v>220</v>
      </c>
    </row>
    <row r="16" spans="1:11" ht="20.100000000000001" customHeight="1" x14ac:dyDescent="0.15">
      <c r="A16" s="414"/>
      <c r="B16" s="235" t="s">
        <v>17</v>
      </c>
      <c r="C16" s="239">
        <v>10600</v>
      </c>
    </row>
    <row r="17" spans="1:3" ht="20.100000000000001" customHeight="1" x14ac:dyDescent="0.15">
      <c r="A17" s="414"/>
      <c r="B17" s="235" t="s">
        <v>1</v>
      </c>
      <c r="C17" s="239">
        <v>6100</v>
      </c>
    </row>
    <row r="18" spans="1:3" ht="20.100000000000001" customHeight="1" x14ac:dyDescent="0.15">
      <c r="A18" s="414"/>
      <c r="B18" s="235" t="s">
        <v>13</v>
      </c>
      <c r="C18" s="240">
        <v>170000</v>
      </c>
    </row>
    <row r="19" spans="1:3" ht="17.25" x14ac:dyDescent="0.15">
      <c r="A19" s="414" t="s">
        <v>201</v>
      </c>
      <c r="B19" s="235" t="s">
        <v>10</v>
      </c>
      <c r="C19" s="238">
        <v>0.3</v>
      </c>
    </row>
    <row r="20" spans="1:3" ht="17.25" x14ac:dyDescent="0.15">
      <c r="A20" s="414"/>
      <c r="B20" s="235" t="s">
        <v>12</v>
      </c>
      <c r="C20" s="238">
        <v>0</v>
      </c>
    </row>
    <row r="21" spans="1:3" ht="17.25" x14ac:dyDescent="0.15">
      <c r="A21" s="414"/>
      <c r="B21" s="235" t="s">
        <v>17</v>
      </c>
      <c r="C21" s="239">
        <v>1300</v>
      </c>
    </row>
    <row r="22" spans="1:3" ht="17.25" x14ac:dyDescent="0.15">
      <c r="A22" s="414"/>
      <c r="B22" s="235" t="s">
        <v>1</v>
      </c>
      <c r="C22" s="239">
        <v>800</v>
      </c>
    </row>
    <row r="23" spans="1:3" ht="17.25" x14ac:dyDescent="0.15">
      <c r="A23" s="414"/>
      <c r="B23" s="235" t="s">
        <v>13</v>
      </c>
      <c r="C23" s="240">
        <v>30000</v>
      </c>
    </row>
  </sheetData>
  <sheetProtection password="CC2D" sheet="1" objects="1" scenarios="1"/>
  <mergeCells count="10">
    <mergeCell ref="A19:A23"/>
    <mergeCell ref="A1:B1"/>
    <mergeCell ref="A3:B3"/>
    <mergeCell ref="E9:F9"/>
    <mergeCell ref="E11:G11"/>
    <mergeCell ref="E14:H14"/>
    <mergeCell ref="A4:A8"/>
    <mergeCell ref="E5:E7"/>
    <mergeCell ref="A9:A13"/>
    <mergeCell ref="A14:A18"/>
  </mergeCells>
  <phoneticPr fontId="1"/>
  <dataValidations count="3">
    <dataValidation type="whole" imeMode="off" operator="greaterThanOrEqual" allowBlank="1" showInputMessage="1" showErrorMessage="1" sqref="C16:C18 C11:C13 C6:C8 C21:C23" xr:uid="{00000000-0002-0000-0200-000000000000}">
      <formula1>0</formula1>
    </dataValidation>
    <dataValidation type="decimal" imeMode="off" operator="greaterThanOrEqual" allowBlank="1" showInputMessage="1" showErrorMessage="1" sqref="C9:C10 C4:C5 C14:C15 C19:C20" xr:uid="{00000000-0002-0000-0200-000001000000}">
      <formula1>0</formula1>
    </dataValidation>
    <dataValidation type="list" allowBlank="1" showInputMessage="1" showErrorMessage="1" sqref="I14" xr:uid="{00000000-0002-0000-0200-000002000000}">
      <formula1>"する,しない,"</formula1>
    </dataValidation>
  </dataValidations>
  <printOptions heading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3:P218"/>
  <sheetViews>
    <sheetView topLeftCell="A195" workbookViewId="0"/>
  </sheetViews>
  <sheetFormatPr defaultRowHeight="13.5" x14ac:dyDescent="0.15"/>
  <cols>
    <col min="1" max="1" width="9" style="248" customWidth="1"/>
    <col min="2" max="2" width="13.875" style="248" bestFit="1" customWidth="1"/>
    <col min="3" max="3" width="9.25" style="248" customWidth="1"/>
    <col min="4" max="6" width="9" style="248" customWidth="1"/>
    <col min="7" max="7" width="4.125" style="248" customWidth="1"/>
    <col min="8" max="10" width="9" style="248" customWidth="1"/>
    <col min="11" max="11" width="9.625" style="248" customWidth="1"/>
    <col min="12" max="12" width="3.25" style="248" customWidth="1"/>
    <col min="13" max="13" width="9" style="248" customWidth="1"/>
    <col min="14" max="16384" width="9" style="248"/>
  </cols>
  <sheetData>
    <row r="3" spans="1:16" x14ac:dyDescent="0.15">
      <c r="H3" s="248" t="s">
        <v>97</v>
      </c>
      <c r="M3" s="248" t="s">
        <v>88</v>
      </c>
    </row>
    <row r="4" spans="1:16" x14ac:dyDescent="0.15">
      <c r="A4" s="249" t="s">
        <v>86</v>
      </c>
      <c r="B4" s="252"/>
      <c r="C4" s="254" t="s">
        <v>81</v>
      </c>
      <c r="D4" s="256" t="s">
        <v>93</v>
      </c>
      <c r="E4" s="254" t="s">
        <v>94</v>
      </c>
      <c r="F4" s="254" t="s">
        <v>95</v>
      </c>
      <c r="H4" s="254" t="s">
        <v>81</v>
      </c>
      <c r="I4" s="254" t="s">
        <v>93</v>
      </c>
      <c r="J4" s="254" t="s">
        <v>94</v>
      </c>
      <c r="K4" s="254" t="s">
        <v>95</v>
      </c>
      <c r="M4" s="254" t="s">
        <v>81</v>
      </c>
      <c r="N4" s="254" t="s">
        <v>93</v>
      </c>
      <c r="O4" s="254" t="s">
        <v>94</v>
      </c>
      <c r="P4" s="254" t="s">
        <v>95</v>
      </c>
    </row>
    <row r="5" spans="1:16" x14ac:dyDescent="0.15">
      <c r="A5" s="250" t="s">
        <v>69</v>
      </c>
      <c r="B5" s="253" t="s">
        <v>17</v>
      </c>
      <c r="C5" s="255">
        <v>29000</v>
      </c>
      <c r="D5" s="254">
        <f t="shared" ref="D5:D10" si="0">C5*0.3</f>
        <v>8700</v>
      </c>
      <c r="E5" s="254">
        <f t="shared" ref="E5:E10" si="1">C5*0.5</f>
        <v>14500</v>
      </c>
      <c r="F5" s="254">
        <f t="shared" ref="F5:F10" si="2">C5*0.8</f>
        <v>23200</v>
      </c>
      <c r="H5" s="257"/>
      <c r="I5" s="257"/>
      <c r="J5" s="257"/>
      <c r="K5" s="257"/>
      <c r="M5" s="257"/>
      <c r="N5" s="257"/>
      <c r="O5" s="257"/>
      <c r="P5" s="257"/>
    </row>
    <row r="6" spans="1:16" x14ac:dyDescent="0.15">
      <c r="A6" s="251"/>
      <c r="B6" s="253" t="s">
        <v>1</v>
      </c>
      <c r="C6" s="253">
        <v>25500</v>
      </c>
      <c r="D6" s="254">
        <f t="shared" si="0"/>
        <v>7650</v>
      </c>
      <c r="E6" s="254">
        <f t="shared" si="1"/>
        <v>12750</v>
      </c>
      <c r="F6" s="254">
        <f t="shared" si="2"/>
        <v>20400</v>
      </c>
      <c r="H6" s="254">
        <f>C6*0.5</f>
        <v>12750</v>
      </c>
      <c r="I6" s="254">
        <f>D6*0.5</f>
        <v>3825</v>
      </c>
      <c r="J6" s="254">
        <f>E6*0.5</f>
        <v>6375</v>
      </c>
      <c r="K6" s="254">
        <f>F6*0.5</f>
        <v>10200</v>
      </c>
      <c r="M6" s="254">
        <f>C6*0.75</f>
        <v>19125</v>
      </c>
      <c r="N6" s="254">
        <f>D6*0.75</f>
        <v>5737.5</v>
      </c>
      <c r="O6" s="254">
        <f>E6*0.75</f>
        <v>9562.5</v>
      </c>
      <c r="P6" s="254">
        <f>F6*0.75</f>
        <v>15300</v>
      </c>
    </row>
    <row r="7" spans="1:16" x14ac:dyDescent="0.15">
      <c r="A7" s="250" t="s">
        <v>79</v>
      </c>
      <c r="B7" s="253" t="s">
        <v>17</v>
      </c>
      <c r="C7" s="253">
        <v>7400</v>
      </c>
      <c r="D7" s="254">
        <f t="shared" si="0"/>
        <v>2220</v>
      </c>
      <c r="E7" s="254">
        <f t="shared" si="1"/>
        <v>3700</v>
      </c>
      <c r="F7" s="254">
        <f t="shared" si="2"/>
        <v>5920</v>
      </c>
      <c r="H7" s="257"/>
      <c r="I7" s="257"/>
      <c r="J7" s="257"/>
      <c r="K7" s="257"/>
      <c r="M7" s="257"/>
      <c r="N7" s="257"/>
      <c r="O7" s="257"/>
      <c r="P7" s="257"/>
    </row>
    <row r="8" spans="1:16" x14ac:dyDescent="0.15">
      <c r="A8" s="251"/>
      <c r="B8" s="253" t="s">
        <v>1</v>
      </c>
      <c r="C8" s="253">
        <v>5800</v>
      </c>
      <c r="D8" s="254">
        <f t="shared" si="0"/>
        <v>1740</v>
      </c>
      <c r="E8" s="254">
        <f t="shared" si="1"/>
        <v>2900</v>
      </c>
      <c r="F8" s="254">
        <f t="shared" si="2"/>
        <v>4640</v>
      </c>
      <c r="H8" s="254">
        <f>C8*0.5</f>
        <v>2900</v>
      </c>
      <c r="I8" s="254">
        <f>D8*0.5</f>
        <v>870</v>
      </c>
      <c r="J8" s="254">
        <f>E8*0.5</f>
        <v>1450</v>
      </c>
      <c r="K8" s="254">
        <f>F8*0.5</f>
        <v>2320</v>
      </c>
      <c r="M8" s="254">
        <f>C8*0.75</f>
        <v>4350</v>
      </c>
      <c r="N8" s="254">
        <f>D8*0.75</f>
        <v>1305</v>
      </c>
      <c r="O8" s="254">
        <f>E8*0.75</f>
        <v>2175</v>
      </c>
      <c r="P8" s="254">
        <f>F8*0.75</f>
        <v>3480</v>
      </c>
    </row>
    <row r="9" spans="1:16" x14ac:dyDescent="0.15">
      <c r="A9" s="250" t="s">
        <v>43</v>
      </c>
      <c r="B9" s="253" t="s">
        <v>17</v>
      </c>
      <c r="C9" s="253">
        <v>9400</v>
      </c>
      <c r="D9" s="254">
        <f t="shared" si="0"/>
        <v>2820</v>
      </c>
      <c r="E9" s="254">
        <f t="shared" si="1"/>
        <v>4700</v>
      </c>
      <c r="F9" s="254">
        <f t="shared" si="2"/>
        <v>7520</v>
      </c>
      <c r="H9" s="257"/>
      <c r="I9" s="257"/>
      <c r="J9" s="257"/>
      <c r="K9" s="257"/>
      <c r="M9" s="257"/>
      <c r="N9" s="257"/>
      <c r="O9" s="257"/>
      <c r="P9" s="257"/>
    </row>
    <row r="10" spans="1:16" x14ac:dyDescent="0.15">
      <c r="A10" s="251"/>
      <c r="B10" s="253" t="s">
        <v>1</v>
      </c>
      <c r="C10" s="253">
        <v>6100</v>
      </c>
      <c r="D10" s="254">
        <f t="shared" si="0"/>
        <v>1830</v>
      </c>
      <c r="E10" s="254">
        <f t="shared" si="1"/>
        <v>3050</v>
      </c>
      <c r="F10" s="254">
        <f t="shared" si="2"/>
        <v>4880</v>
      </c>
      <c r="H10" s="257"/>
      <c r="I10" s="257"/>
      <c r="J10" s="257"/>
      <c r="K10" s="257"/>
      <c r="M10" s="257"/>
      <c r="N10" s="257"/>
      <c r="O10" s="257"/>
      <c r="P10" s="257"/>
    </row>
    <row r="12" spans="1:16" x14ac:dyDescent="0.15">
      <c r="A12" s="249" t="s">
        <v>87</v>
      </c>
      <c r="B12" s="252"/>
      <c r="C12" s="254" t="s">
        <v>81</v>
      </c>
      <c r="D12" s="256" t="s">
        <v>93</v>
      </c>
      <c r="E12" s="254" t="s">
        <v>94</v>
      </c>
      <c r="F12" s="254" t="s">
        <v>95</v>
      </c>
      <c r="H12" s="254" t="s">
        <v>81</v>
      </c>
      <c r="I12" s="254" t="s">
        <v>93</v>
      </c>
      <c r="J12" s="254" t="s">
        <v>94</v>
      </c>
      <c r="K12" s="254" t="s">
        <v>95</v>
      </c>
      <c r="M12" s="254" t="s">
        <v>81</v>
      </c>
      <c r="N12" s="254" t="s">
        <v>93</v>
      </c>
      <c r="O12" s="254" t="s">
        <v>94</v>
      </c>
      <c r="P12" s="254" t="s">
        <v>95</v>
      </c>
    </row>
    <row r="13" spans="1:16" x14ac:dyDescent="0.15">
      <c r="A13" s="250" t="s">
        <v>69</v>
      </c>
      <c r="B13" s="253" t="s">
        <v>17</v>
      </c>
      <c r="C13" s="255">
        <v>21500</v>
      </c>
      <c r="D13" s="254">
        <f t="shared" ref="D13:D18" si="3">C13*0.3</f>
        <v>6450</v>
      </c>
      <c r="E13" s="254">
        <f t="shared" ref="E13:E18" si="4">C13*0.5</f>
        <v>10750</v>
      </c>
      <c r="F13" s="254">
        <f t="shared" ref="F13:F18" si="5">C13*0.8</f>
        <v>17200</v>
      </c>
      <c r="H13" s="257"/>
      <c r="I13" s="257"/>
      <c r="J13" s="257"/>
      <c r="K13" s="257"/>
      <c r="M13" s="257"/>
      <c r="N13" s="257"/>
      <c r="O13" s="257"/>
      <c r="P13" s="257"/>
    </row>
    <row r="14" spans="1:16" x14ac:dyDescent="0.15">
      <c r="A14" s="251"/>
      <c r="B14" s="253" t="s">
        <v>1</v>
      </c>
      <c r="C14" s="253">
        <v>24500</v>
      </c>
      <c r="D14" s="254">
        <f t="shared" si="3"/>
        <v>7350</v>
      </c>
      <c r="E14" s="254">
        <f t="shared" si="4"/>
        <v>12250</v>
      </c>
      <c r="F14" s="254">
        <f t="shared" si="5"/>
        <v>19600</v>
      </c>
      <c r="H14" s="254">
        <f>C14*0.5</f>
        <v>12250</v>
      </c>
      <c r="I14" s="254">
        <f>D14*0.5</f>
        <v>3675</v>
      </c>
      <c r="J14" s="254">
        <f>E14*0.5</f>
        <v>6125</v>
      </c>
      <c r="K14" s="254">
        <f>F14*0.5</f>
        <v>9800</v>
      </c>
      <c r="M14" s="254">
        <f>C14*0.75</f>
        <v>18375</v>
      </c>
      <c r="N14" s="254">
        <f>D14*0.75</f>
        <v>5512.5</v>
      </c>
      <c r="O14" s="254">
        <f>E14*0.75</f>
        <v>9187.5</v>
      </c>
      <c r="P14" s="254">
        <f>F14*0.75</f>
        <v>14700</v>
      </c>
    </row>
    <row r="15" spans="1:16" x14ac:dyDescent="0.15">
      <c r="A15" s="250" t="s">
        <v>79</v>
      </c>
      <c r="B15" s="253" t="s">
        <v>17</v>
      </c>
      <c r="C15" s="253">
        <v>8500</v>
      </c>
      <c r="D15" s="254">
        <f t="shared" si="3"/>
        <v>2550</v>
      </c>
      <c r="E15" s="254">
        <f t="shared" si="4"/>
        <v>4250</v>
      </c>
      <c r="F15" s="254">
        <f t="shared" si="5"/>
        <v>6800</v>
      </c>
      <c r="H15" s="257"/>
      <c r="I15" s="257"/>
      <c r="J15" s="257"/>
      <c r="K15" s="257"/>
      <c r="M15" s="257"/>
      <c r="N15" s="257"/>
      <c r="O15" s="257"/>
      <c r="P15" s="257"/>
    </row>
    <row r="16" spans="1:16" x14ac:dyDescent="0.15">
      <c r="A16" s="251"/>
      <c r="B16" s="253" t="s">
        <v>1</v>
      </c>
      <c r="C16" s="253">
        <v>2800</v>
      </c>
      <c r="D16" s="254">
        <f t="shared" si="3"/>
        <v>840</v>
      </c>
      <c r="E16" s="254">
        <f t="shared" si="4"/>
        <v>1400</v>
      </c>
      <c r="F16" s="254">
        <f t="shared" si="5"/>
        <v>2240</v>
      </c>
      <c r="H16" s="254">
        <f>C16*0.5</f>
        <v>1400</v>
      </c>
      <c r="I16" s="254">
        <f>D16*0.5</f>
        <v>420</v>
      </c>
      <c r="J16" s="254">
        <f>E16*0.5</f>
        <v>700</v>
      </c>
      <c r="K16" s="254">
        <f>F16*0.5</f>
        <v>1120</v>
      </c>
      <c r="M16" s="254">
        <f>C16*0.75</f>
        <v>2100</v>
      </c>
      <c r="N16" s="254">
        <f>D16*0.75</f>
        <v>630</v>
      </c>
      <c r="O16" s="254">
        <f>E16*0.75</f>
        <v>1050</v>
      </c>
      <c r="P16" s="254">
        <f>F16*0.75</f>
        <v>1680</v>
      </c>
    </row>
    <row r="17" spans="1:16" x14ac:dyDescent="0.15">
      <c r="A17" s="250" t="s">
        <v>43</v>
      </c>
      <c r="B17" s="253" t="s">
        <v>17</v>
      </c>
      <c r="C17" s="253">
        <v>10500</v>
      </c>
      <c r="D17" s="254">
        <f t="shared" si="3"/>
        <v>3150</v>
      </c>
      <c r="E17" s="254">
        <f t="shared" si="4"/>
        <v>5250</v>
      </c>
      <c r="F17" s="254">
        <f t="shared" si="5"/>
        <v>8400</v>
      </c>
      <c r="H17" s="257"/>
      <c r="I17" s="257"/>
      <c r="J17" s="257"/>
      <c r="K17" s="257"/>
      <c r="M17" s="257"/>
      <c r="N17" s="257"/>
      <c r="O17" s="257"/>
      <c r="P17" s="257"/>
    </row>
    <row r="18" spans="1:16" x14ac:dyDescent="0.15">
      <c r="A18" s="251"/>
      <c r="B18" s="253" t="s">
        <v>1</v>
      </c>
      <c r="C18" s="253">
        <v>3000</v>
      </c>
      <c r="D18" s="254">
        <f t="shared" si="3"/>
        <v>900</v>
      </c>
      <c r="E18" s="254">
        <f t="shared" si="4"/>
        <v>1500</v>
      </c>
      <c r="F18" s="254">
        <f t="shared" si="5"/>
        <v>2400</v>
      </c>
      <c r="H18" s="257"/>
      <c r="I18" s="257"/>
      <c r="J18" s="257"/>
      <c r="K18" s="257"/>
      <c r="M18" s="257"/>
      <c r="N18" s="257"/>
      <c r="O18" s="257"/>
      <c r="P18" s="257"/>
    </row>
    <row r="21" spans="1:16" x14ac:dyDescent="0.15">
      <c r="H21" s="248" t="s">
        <v>97</v>
      </c>
      <c r="M21" s="248" t="s">
        <v>88</v>
      </c>
    </row>
    <row r="22" spans="1:16" x14ac:dyDescent="0.15">
      <c r="A22" s="249" t="s">
        <v>89</v>
      </c>
      <c r="B22" s="252"/>
      <c r="C22" s="254" t="s">
        <v>81</v>
      </c>
      <c r="D22" s="256" t="s">
        <v>93</v>
      </c>
      <c r="E22" s="254" t="s">
        <v>94</v>
      </c>
      <c r="F22" s="254" t="s">
        <v>95</v>
      </c>
      <c r="H22" s="254" t="s">
        <v>81</v>
      </c>
      <c r="I22" s="254" t="s">
        <v>93</v>
      </c>
      <c r="J22" s="254" t="s">
        <v>94</v>
      </c>
      <c r="K22" s="254" t="s">
        <v>95</v>
      </c>
      <c r="M22" s="254" t="s">
        <v>81</v>
      </c>
      <c r="N22" s="254" t="s">
        <v>93</v>
      </c>
      <c r="O22" s="254" t="s">
        <v>94</v>
      </c>
      <c r="P22" s="254" t="s">
        <v>95</v>
      </c>
    </row>
    <row r="23" spans="1:16" x14ac:dyDescent="0.15">
      <c r="A23" s="250" t="s">
        <v>69</v>
      </c>
      <c r="B23" s="253" t="s">
        <v>17</v>
      </c>
      <c r="C23" s="255">
        <v>25000</v>
      </c>
      <c r="D23" s="254">
        <f t="shared" ref="D23:D28" si="6">C23*0.3</f>
        <v>7500</v>
      </c>
      <c r="E23" s="254">
        <f t="shared" ref="E23:E28" si="7">C23*0.5</f>
        <v>12500</v>
      </c>
      <c r="F23" s="254">
        <f t="shared" ref="F23:F28" si="8">C23*0.8</f>
        <v>20000</v>
      </c>
      <c r="H23" s="257"/>
      <c r="I23" s="257"/>
      <c r="J23" s="257"/>
      <c r="K23" s="257"/>
      <c r="M23" s="257"/>
      <c r="N23" s="257"/>
      <c r="O23" s="257"/>
      <c r="P23" s="257"/>
    </row>
    <row r="24" spans="1:16" x14ac:dyDescent="0.15">
      <c r="A24" s="251"/>
      <c r="B24" s="253" t="s">
        <v>1</v>
      </c>
      <c r="C24" s="253">
        <v>23500</v>
      </c>
      <c r="D24" s="254">
        <f t="shared" si="6"/>
        <v>7050</v>
      </c>
      <c r="E24" s="254">
        <f t="shared" si="7"/>
        <v>11750</v>
      </c>
      <c r="F24" s="254">
        <f t="shared" si="8"/>
        <v>18800</v>
      </c>
      <c r="H24" s="254">
        <f>C24*0.5</f>
        <v>11750</v>
      </c>
      <c r="I24" s="254">
        <f>D24*0.5</f>
        <v>3525</v>
      </c>
      <c r="J24" s="254">
        <f>E24*0.5</f>
        <v>5875</v>
      </c>
      <c r="K24" s="254">
        <f>F24*0.5</f>
        <v>9400</v>
      </c>
      <c r="M24" s="254">
        <f>C24*0.75</f>
        <v>17625</v>
      </c>
      <c r="N24" s="254">
        <f>D24*0.75</f>
        <v>5287.5</v>
      </c>
      <c r="O24" s="254">
        <f>E24*0.75</f>
        <v>8812.5</v>
      </c>
      <c r="P24" s="254">
        <f>F24*0.75</f>
        <v>14100</v>
      </c>
    </row>
    <row r="25" spans="1:16" x14ac:dyDescent="0.15">
      <c r="A25" s="250" t="s">
        <v>79</v>
      </c>
      <c r="B25" s="253" t="s">
        <v>17</v>
      </c>
      <c r="C25" s="253">
        <v>7400</v>
      </c>
      <c r="D25" s="254">
        <f t="shared" si="6"/>
        <v>2220</v>
      </c>
      <c r="E25" s="254">
        <f t="shared" si="7"/>
        <v>3700</v>
      </c>
      <c r="F25" s="254">
        <f t="shared" si="8"/>
        <v>5920</v>
      </c>
      <c r="H25" s="257"/>
      <c r="I25" s="257"/>
      <c r="J25" s="257"/>
      <c r="K25" s="257"/>
      <c r="M25" s="257"/>
      <c r="N25" s="257"/>
      <c r="O25" s="257"/>
      <c r="P25" s="257"/>
    </row>
    <row r="26" spans="1:16" x14ac:dyDescent="0.15">
      <c r="A26" s="251"/>
      <c r="B26" s="253" t="s">
        <v>1</v>
      </c>
      <c r="C26" s="253">
        <v>5800</v>
      </c>
      <c r="D26" s="254">
        <f t="shared" si="6"/>
        <v>1740</v>
      </c>
      <c r="E26" s="254">
        <f t="shared" si="7"/>
        <v>2900</v>
      </c>
      <c r="F26" s="254">
        <f t="shared" si="8"/>
        <v>4640</v>
      </c>
      <c r="H26" s="254">
        <f>C26*0.5</f>
        <v>2900</v>
      </c>
      <c r="I26" s="254">
        <f>D26*0.5</f>
        <v>870</v>
      </c>
      <c r="J26" s="254">
        <f>E26*0.5</f>
        <v>1450</v>
      </c>
      <c r="K26" s="254">
        <f>F26*0.5</f>
        <v>2320</v>
      </c>
      <c r="M26" s="254">
        <f>C26*0.75</f>
        <v>4350</v>
      </c>
      <c r="N26" s="254">
        <f>D26*0.75</f>
        <v>1305</v>
      </c>
      <c r="O26" s="254">
        <f>E26*0.75</f>
        <v>2175</v>
      </c>
      <c r="P26" s="254">
        <f>F26*0.75</f>
        <v>3480</v>
      </c>
    </row>
    <row r="27" spans="1:16" x14ac:dyDescent="0.15">
      <c r="A27" s="250" t="s">
        <v>43</v>
      </c>
      <c r="B27" s="253" t="s">
        <v>17</v>
      </c>
      <c r="C27" s="253">
        <v>9400</v>
      </c>
      <c r="D27" s="254">
        <f t="shared" si="6"/>
        <v>2820</v>
      </c>
      <c r="E27" s="254">
        <f t="shared" si="7"/>
        <v>4700</v>
      </c>
      <c r="F27" s="254">
        <f t="shared" si="8"/>
        <v>7520</v>
      </c>
      <c r="H27" s="257"/>
      <c r="I27" s="257"/>
      <c r="J27" s="257"/>
      <c r="K27" s="257"/>
      <c r="M27" s="257"/>
      <c r="N27" s="257"/>
      <c r="O27" s="257"/>
      <c r="P27" s="257"/>
    </row>
    <row r="28" spans="1:16" x14ac:dyDescent="0.15">
      <c r="A28" s="251"/>
      <c r="B28" s="253" t="s">
        <v>1</v>
      </c>
      <c r="C28" s="253">
        <v>6100</v>
      </c>
      <c r="D28" s="254">
        <f t="shared" si="6"/>
        <v>1830</v>
      </c>
      <c r="E28" s="254">
        <f t="shared" si="7"/>
        <v>3050</v>
      </c>
      <c r="F28" s="254">
        <f t="shared" si="8"/>
        <v>4880</v>
      </c>
      <c r="H28" s="257"/>
      <c r="I28" s="257"/>
      <c r="J28" s="257"/>
      <c r="K28" s="257"/>
      <c r="M28" s="257"/>
      <c r="N28" s="257"/>
      <c r="O28" s="257"/>
      <c r="P28" s="257"/>
    </row>
    <row r="30" spans="1:16" x14ac:dyDescent="0.15">
      <c r="A30" s="249" t="s">
        <v>91</v>
      </c>
      <c r="B30" s="252"/>
      <c r="C30" s="254" t="s">
        <v>81</v>
      </c>
      <c r="D30" s="256" t="s">
        <v>93</v>
      </c>
      <c r="E30" s="254" t="s">
        <v>94</v>
      </c>
      <c r="F30" s="254" t="s">
        <v>95</v>
      </c>
      <c r="H30" s="254" t="s">
        <v>81</v>
      </c>
      <c r="I30" s="254" t="s">
        <v>93</v>
      </c>
      <c r="J30" s="254" t="s">
        <v>94</v>
      </c>
      <c r="K30" s="254" t="s">
        <v>95</v>
      </c>
      <c r="M30" s="254" t="s">
        <v>81</v>
      </c>
      <c r="N30" s="254" t="s">
        <v>93</v>
      </c>
      <c r="O30" s="254" t="s">
        <v>94</v>
      </c>
      <c r="P30" s="254" t="s">
        <v>95</v>
      </c>
    </row>
    <row r="31" spans="1:16" x14ac:dyDescent="0.15">
      <c r="A31" s="250" t="s">
        <v>69</v>
      </c>
      <c r="B31" s="253" t="s">
        <v>17</v>
      </c>
      <c r="C31" s="255">
        <v>23000</v>
      </c>
      <c r="D31" s="254">
        <f t="shared" ref="D31:D36" si="9">C31*0.3</f>
        <v>6900</v>
      </c>
      <c r="E31" s="254">
        <f t="shared" ref="E31:E36" si="10">C31*0.5</f>
        <v>11500</v>
      </c>
      <c r="F31" s="254">
        <f t="shared" ref="F31:F36" si="11">C31*0.8</f>
        <v>18400</v>
      </c>
      <c r="H31" s="257"/>
      <c r="I31" s="257"/>
      <c r="J31" s="257"/>
      <c r="K31" s="257"/>
      <c r="M31" s="257"/>
      <c r="N31" s="257"/>
      <c r="O31" s="257"/>
      <c r="P31" s="257"/>
    </row>
    <row r="32" spans="1:16" x14ac:dyDescent="0.15">
      <c r="A32" s="251"/>
      <c r="B32" s="253" t="s">
        <v>1</v>
      </c>
      <c r="C32" s="253">
        <v>23500</v>
      </c>
      <c r="D32" s="254">
        <f t="shared" si="9"/>
        <v>7050</v>
      </c>
      <c r="E32" s="254">
        <f t="shared" si="10"/>
        <v>11750</v>
      </c>
      <c r="F32" s="254">
        <f t="shared" si="11"/>
        <v>18800</v>
      </c>
      <c r="H32" s="254">
        <f>C32*0.5</f>
        <v>11750</v>
      </c>
      <c r="I32" s="254">
        <f>D32*0.5</f>
        <v>3525</v>
      </c>
      <c r="J32" s="254">
        <f>E32*0.5</f>
        <v>5875</v>
      </c>
      <c r="K32" s="254">
        <f>F32*0.5</f>
        <v>9400</v>
      </c>
      <c r="M32" s="254">
        <f>C32*0.75</f>
        <v>17625</v>
      </c>
      <c r="N32" s="254">
        <f>D32*0.75</f>
        <v>5287.5</v>
      </c>
      <c r="O32" s="254">
        <f>E32*0.75</f>
        <v>8812.5</v>
      </c>
      <c r="P32" s="254">
        <f>F32*0.75</f>
        <v>14100</v>
      </c>
    </row>
    <row r="33" spans="1:16" x14ac:dyDescent="0.15">
      <c r="A33" s="250" t="s">
        <v>79</v>
      </c>
      <c r="B33" s="253" t="s">
        <v>17</v>
      </c>
      <c r="C33" s="253">
        <v>8000</v>
      </c>
      <c r="D33" s="254">
        <f t="shared" si="9"/>
        <v>2400</v>
      </c>
      <c r="E33" s="254">
        <f t="shared" si="10"/>
        <v>4000</v>
      </c>
      <c r="F33" s="254">
        <f t="shared" si="11"/>
        <v>6400</v>
      </c>
      <c r="H33" s="257"/>
      <c r="I33" s="257"/>
      <c r="J33" s="257"/>
      <c r="K33" s="257"/>
      <c r="M33" s="257"/>
      <c r="N33" s="257"/>
      <c r="O33" s="257"/>
      <c r="P33" s="257"/>
    </row>
    <row r="34" spans="1:16" x14ac:dyDescent="0.15">
      <c r="A34" s="251"/>
      <c r="B34" s="253" t="s">
        <v>1</v>
      </c>
      <c r="C34" s="253">
        <v>3800</v>
      </c>
      <c r="D34" s="254">
        <f t="shared" si="9"/>
        <v>1140</v>
      </c>
      <c r="E34" s="254">
        <f t="shared" si="10"/>
        <v>1900</v>
      </c>
      <c r="F34" s="254">
        <f t="shared" si="11"/>
        <v>3040</v>
      </c>
      <c r="H34" s="254">
        <f>C34*0.5</f>
        <v>1900</v>
      </c>
      <c r="I34" s="254">
        <f>D34*0.5</f>
        <v>570</v>
      </c>
      <c r="J34" s="254">
        <f>E34*0.5</f>
        <v>950</v>
      </c>
      <c r="K34" s="254">
        <f>F34*0.5</f>
        <v>1520</v>
      </c>
      <c r="M34" s="254">
        <f>C34*0.75</f>
        <v>2850</v>
      </c>
      <c r="N34" s="254">
        <f>D34*0.75</f>
        <v>855</v>
      </c>
      <c r="O34" s="254">
        <f>E34*0.75</f>
        <v>1425</v>
      </c>
      <c r="P34" s="254">
        <f>F34*0.75</f>
        <v>2280</v>
      </c>
    </row>
    <row r="35" spans="1:16" x14ac:dyDescent="0.15">
      <c r="A35" s="250" t="s">
        <v>43</v>
      </c>
      <c r="B35" s="253" t="s">
        <v>17</v>
      </c>
      <c r="C35" s="253">
        <v>10000</v>
      </c>
      <c r="D35" s="254">
        <f t="shared" si="9"/>
        <v>3000</v>
      </c>
      <c r="E35" s="254">
        <f t="shared" si="10"/>
        <v>5000</v>
      </c>
      <c r="F35" s="254">
        <f t="shared" si="11"/>
        <v>8000</v>
      </c>
      <c r="H35" s="257"/>
      <c r="I35" s="257"/>
      <c r="J35" s="257"/>
      <c r="K35" s="257"/>
      <c r="M35" s="257"/>
      <c r="N35" s="257"/>
      <c r="O35" s="257"/>
      <c r="P35" s="257"/>
    </row>
    <row r="36" spans="1:16" x14ac:dyDescent="0.15">
      <c r="A36" s="251"/>
      <c r="B36" s="253" t="s">
        <v>1</v>
      </c>
      <c r="C36" s="253">
        <v>4000</v>
      </c>
      <c r="D36" s="254">
        <f t="shared" si="9"/>
        <v>1200</v>
      </c>
      <c r="E36" s="254">
        <f t="shared" si="10"/>
        <v>2000</v>
      </c>
      <c r="F36" s="254">
        <f t="shared" si="11"/>
        <v>3200</v>
      </c>
      <c r="H36" s="257"/>
      <c r="I36" s="257"/>
      <c r="J36" s="257"/>
      <c r="K36" s="257"/>
      <c r="M36" s="257"/>
      <c r="N36" s="257"/>
      <c r="O36" s="257"/>
      <c r="P36" s="257"/>
    </row>
    <row r="39" spans="1:16" x14ac:dyDescent="0.15">
      <c r="H39" s="248" t="s">
        <v>97</v>
      </c>
      <c r="M39" s="248" t="s">
        <v>88</v>
      </c>
    </row>
    <row r="40" spans="1:16" x14ac:dyDescent="0.15">
      <c r="A40" s="249" t="s">
        <v>99</v>
      </c>
      <c r="B40" s="252"/>
      <c r="C40" s="254" t="s">
        <v>81</v>
      </c>
      <c r="D40" s="256" t="s">
        <v>93</v>
      </c>
      <c r="E40" s="254" t="s">
        <v>94</v>
      </c>
      <c r="F40" s="254" t="s">
        <v>95</v>
      </c>
      <c r="H40" s="254" t="s">
        <v>81</v>
      </c>
      <c r="I40" s="254" t="s">
        <v>93</v>
      </c>
      <c r="J40" s="254" t="s">
        <v>94</v>
      </c>
      <c r="K40" s="254" t="s">
        <v>95</v>
      </c>
      <c r="M40" s="254" t="s">
        <v>81</v>
      </c>
      <c r="N40" s="254" t="s">
        <v>93</v>
      </c>
      <c r="O40" s="254" t="s">
        <v>94</v>
      </c>
      <c r="P40" s="254" t="s">
        <v>95</v>
      </c>
    </row>
    <row r="41" spans="1:16" x14ac:dyDescent="0.15">
      <c r="A41" s="250" t="s">
        <v>69</v>
      </c>
      <c r="B41" s="253" t="s">
        <v>17</v>
      </c>
      <c r="C41" s="255">
        <v>25000</v>
      </c>
      <c r="D41" s="254">
        <f t="shared" ref="D41:D46" si="12">C41*0.3</f>
        <v>7500</v>
      </c>
      <c r="E41" s="254">
        <f t="shared" ref="E41:E46" si="13">C41*0.5</f>
        <v>12500</v>
      </c>
      <c r="F41" s="254">
        <f t="shared" ref="F41:F46" si="14">C41*0.8</f>
        <v>20000</v>
      </c>
      <c r="H41" s="257"/>
      <c r="I41" s="257"/>
      <c r="J41" s="257"/>
      <c r="K41" s="257"/>
      <c r="M41" s="257"/>
      <c r="N41" s="257"/>
      <c r="O41" s="257"/>
      <c r="P41" s="257"/>
    </row>
    <row r="42" spans="1:16" x14ac:dyDescent="0.15">
      <c r="A42" s="251"/>
      <c r="B42" s="253" t="s">
        <v>1</v>
      </c>
      <c r="C42" s="253">
        <v>23500</v>
      </c>
      <c r="D42" s="254">
        <f t="shared" si="12"/>
        <v>7050</v>
      </c>
      <c r="E42" s="254">
        <f t="shared" si="13"/>
        <v>11750</v>
      </c>
      <c r="F42" s="254">
        <f t="shared" si="14"/>
        <v>18800</v>
      </c>
      <c r="H42" s="254">
        <f>C42*0.5</f>
        <v>11750</v>
      </c>
      <c r="I42" s="254">
        <f>D42*0.5</f>
        <v>3525</v>
      </c>
      <c r="J42" s="254">
        <f>E42*0.5</f>
        <v>5875</v>
      </c>
      <c r="K42" s="254">
        <f>F42*0.5</f>
        <v>9400</v>
      </c>
      <c r="M42" s="254">
        <f>C42*0.75</f>
        <v>17625</v>
      </c>
      <c r="N42" s="254">
        <f>D42*0.75</f>
        <v>5287.5</v>
      </c>
      <c r="O42" s="254">
        <f>E42*0.75</f>
        <v>8812.5</v>
      </c>
      <c r="P42" s="254">
        <f>F42*0.75</f>
        <v>14100</v>
      </c>
    </row>
    <row r="43" spans="1:16" x14ac:dyDescent="0.15">
      <c r="A43" s="250" t="s">
        <v>79</v>
      </c>
      <c r="B43" s="253" t="s">
        <v>17</v>
      </c>
      <c r="C43" s="253">
        <v>7400</v>
      </c>
      <c r="D43" s="254">
        <f t="shared" si="12"/>
        <v>2220</v>
      </c>
      <c r="E43" s="254">
        <f t="shared" si="13"/>
        <v>3700</v>
      </c>
      <c r="F43" s="254">
        <f t="shared" si="14"/>
        <v>5920</v>
      </c>
      <c r="H43" s="257"/>
      <c r="I43" s="257"/>
      <c r="J43" s="257"/>
      <c r="K43" s="257"/>
      <c r="M43" s="257"/>
      <c r="N43" s="257"/>
      <c r="O43" s="257"/>
      <c r="P43" s="257"/>
    </row>
    <row r="44" spans="1:16" x14ac:dyDescent="0.15">
      <c r="A44" s="251"/>
      <c r="B44" s="253" t="s">
        <v>1</v>
      </c>
      <c r="C44" s="253">
        <v>5800</v>
      </c>
      <c r="D44" s="254">
        <f t="shared" si="12"/>
        <v>1740</v>
      </c>
      <c r="E44" s="254">
        <f t="shared" si="13"/>
        <v>2900</v>
      </c>
      <c r="F44" s="254">
        <f t="shared" si="14"/>
        <v>4640</v>
      </c>
      <c r="H44" s="254">
        <f>C44*0.5</f>
        <v>2900</v>
      </c>
      <c r="I44" s="254">
        <f>D44*0.5</f>
        <v>870</v>
      </c>
      <c r="J44" s="254">
        <f>E44*0.5</f>
        <v>1450</v>
      </c>
      <c r="K44" s="254">
        <f>F44*0.5</f>
        <v>2320</v>
      </c>
      <c r="M44" s="254">
        <f>C44*0.75</f>
        <v>4350</v>
      </c>
      <c r="N44" s="254">
        <f>D44*0.75</f>
        <v>1305</v>
      </c>
      <c r="O44" s="254">
        <f>E44*0.75</f>
        <v>2175</v>
      </c>
      <c r="P44" s="254">
        <f>F44*0.75</f>
        <v>3480</v>
      </c>
    </row>
    <row r="45" spans="1:16" x14ac:dyDescent="0.15">
      <c r="A45" s="250" t="s">
        <v>43</v>
      </c>
      <c r="B45" s="253" t="s">
        <v>17</v>
      </c>
      <c r="C45" s="253">
        <v>9400</v>
      </c>
      <c r="D45" s="254">
        <f t="shared" si="12"/>
        <v>2820</v>
      </c>
      <c r="E45" s="254">
        <f t="shared" si="13"/>
        <v>4700</v>
      </c>
      <c r="F45" s="254">
        <f t="shared" si="14"/>
        <v>7520</v>
      </c>
      <c r="H45" s="257"/>
      <c r="I45" s="257"/>
      <c r="J45" s="257"/>
      <c r="K45" s="257"/>
      <c r="M45" s="257"/>
      <c r="N45" s="257"/>
      <c r="O45" s="257"/>
      <c r="P45" s="257"/>
    </row>
    <row r="46" spans="1:16" x14ac:dyDescent="0.15">
      <c r="A46" s="251"/>
      <c r="B46" s="253" t="s">
        <v>1</v>
      </c>
      <c r="C46" s="253">
        <v>6100</v>
      </c>
      <c r="D46" s="254">
        <f t="shared" si="12"/>
        <v>1830</v>
      </c>
      <c r="E46" s="254">
        <f t="shared" si="13"/>
        <v>3050</v>
      </c>
      <c r="F46" s="254">
        <f t="shared" si="14"/>
        <v>4880</v>
      </c>
      <c r="H46" s="257"/>
      <c r="I46" s="257"/>
      <c r="J46" s="257"/>
      <c r="K46" s="257"/>
      <c r="M46" s="257"/>
      <c r="N46" s="257"/>
      <c r="O46" s="257"/>
      <c r="P46" s="257"/>
    </row>
    <row r="48" spans="1:16" x14ac:dyDescent="0.15">
      <c r="A48" s="249" t="s">
        <v>101</v>
      </c>
      <c r="B48" s="252"/>
      <c r="C48" s="254" t="s">
        <v>81</v>
      </c>
      <c r="D48" s="256" t="s">
        <v>93</v>
      </c>
      <c r="E48" s="254" t="s">
        <v>94</v>
      </c>
      <c r="F48" s="254" t="s">
        <v>95</v>
      </c>
      <c r="H48" s="254" t="s">
        <v>81</v>
      </c>
      <c r="I48" s="254" t="s">
        <v>93</v>
      </c>
      <c r="J48" s="254" t="s">
        <v>94</v>
      </c>
      <c r="K48" s="254" t="s">
        <v>95</v>
      </c>
      <c r="M48" s="254" t="s">
        <v>81</v>
      </c>
      <c r="N48" s="254" t="s">
        <v>93</v>
      </c>
      <c r="O48" s="254" t="s">
        <v>94</v>
      </c>
      <c r="P48" s="254" t="s">
        <v>95</v>
      </c>
    </row>
    <row r="49" spans="1:16" x14ac:dyDescent="0.15">
      <c r="A49" s="250" t="s">
        <v>69</v>
      </c>
      <c r="B49" s="253" t="s">
        <v>17</v>
      </c>
      <c r="C49" s="255">
        <v>24000</v>
      </c>
      <c r="D49" s="254">
        <f t="shared" ref="D49:D54" si="15">C49*0.3</f>
        <v>7200</v>
      </c>
      <c r="E49" s="254">
        <f t="shared" ref="E49:E54" si="16">C49*0.5</f>
        <v>12000</v>
      </c>
      <c r="F49" s="254">
        <f t="shared" ref="F49:F54" si="17">C49*0.8</f>
        <v>19200</v>
      </c>
      <c r="H49" s="257"/>
      <c r="I49" s="257"/>
      <c r="J49" s="257"/>
      <c r="K49" s="257"/>
      <c r="M49" s="257"/>
      <c r="N49" s="257"/>
      <c r="O49" s="257"/>
      <c r="P49" s="257"/>
    </row>
    <row r="50" spans="1:16" x14ac:dyDescent="0.15">
      <c r="A50" s="251"/>
      <c r="B50" s="253" t="s">
        <v>1</v>
      </c>
      <c r="C50" s="253">
        <v>23500</v>
      </c>
      <c r="D50" s="254">
        <f t="shared" si="15"/>
        <v>7050</v>
      </c>
      <c r="E50" s="254">
        <f t="shared" si="16"/>
        <v>11750</v>
      </c>
      <c r="F50" s="254">
        <f t="shared" si="17"/>
        <v>18800</v>
      </c>
      <c r="H50" s="254">
        <f>C50*0.5</f>
        <v>11750</v>
      </c>
      <c r="I50" s="254">
        <f>D50*0.5</f>
        <v>3525</v>
      </c>
      <c r="J50" s="254">
        <f>E50*0.5</f>
        <v>5875</v>
      </c>
      <c r="K50" s="254">
        <f>F50*0.5</f>
        <v>9400</v>
      </c>
      <c r="M50" s="254">
        <f>C50*0.75</f>
        <v>17625</v>
      </c>
      <c r="N50" s="254">
        <f>D50*0.75</f>
        <v>5287.5</v>
      </c>
      <c r="O50" s="254">
        <f>E50*0.75</f>
        <v>8812.5</v>
      </c>
      <c r="P50" s="254">
        <f>F50*0.75</f>
        <v>14100</v>
      </c>
    </row>
    <row r="51" spans="1:16" x14ac:dyDescent="0.15">
      <c r="A51" s="250" t="s">
        <v>79</v>
      </c>
      <c r="B51" s="253" t="s">
        <v>17</v>
      </c>
      <c r="C51" s="253">
        <v>7400</v>
      </c>
      <c r="D51" s="254">
        <f t="shared" si="15"/>
        <v>2220</v>
      </c>
      <c r="E51" s="254">
        <f t="shared" si="16"/>
        <v>3700</v>
      </c>
      <c r="F51" s="254">
        <f t="shared" si="17"/>
        <v>5920</v>
      </c>
      <c r="H51" s="257"/>
      <c r="I51" s="257"/>
      <c r="J51" s="257"/>
      <c r="K51" s="257"/>
      <c r="M51" s="257"/>
      <c r="N51" s="257"/>
      <c r="O51" s="257"/>
      <c r="P51" s="257"/>
    </row>
    <row r="52" spans="1:16" x14ac:dyDescent="0.15">
      <c r="A52" s="251"/>
      <c r="B52" s="253" t="s">
        <v>1</v>
      </c>
      <c r="C52" s="253">
        <v>4800</v>
      </c>
      <c r="D52" s="254">
        <f t="shared" si="15"/>
        <v>1440</v>
      </c>
      <c r="E52" s="254">
        <f t="shared" si="16"/>
        <v>2400</v>
      </c>
      <c r="F52" s="254">
        <f t="shared" si="17"/>
        <v>3840</v>
      </c>
      <c r="H52" s="254">
        <f>C52*0.5</f>
        <v>2400</v>
      </c>
      <c r="I52" s="254">
        <f>D52*0.5</f>
        <v>720</v>
      </c>
      <c r="J52" s="254">
        <f>E52*0.5</f>
        <v>1200</v>
      </c>
      <c r="K52" s="254">
        <f>F52*0.5</f>
        <v>1920</v>
      </c>
      <c r="M52" s="254">
        <f>C52*0.75</f>
        <v>3600</v>
      </c>
      <c r="N52" s="254">
        <f>D52*0.75</f>
        <v>1080</v>
      </c>
      <c r="O52" s="254">
        <f>E52*0.75</f>
        <v>1800</v>
      </c>
      <c r="P52" s="254">
        <f>F52*0.75</f>
        <v>2880</v>
      </c>
    </row>
    <row r="53" spans="1:16" x14ac:dyDescent="0.15">
      <c r="A53" s="250" t="s">
        <v>43</v>
      </c>
      <c r="B53" s="253" t="s">
        <v>17</v>
      </c>
      <c r="C53" s="253">
        <v>9400</v>
      </c>
      <c r="D53" s="254">
        <f t="shared" si="15"/>
        <v>2820</v>
      </c>
      <c r="E53" s="254">
        <f t="shared" si="16"/>
        <v>4700</v>
      </c>
      <c r="F53" s="254">
        <f t="shared" si="17"/>
        <v>7520</v>
      </c>
      <c r="H53" s="257"/>
      <c r="I53" s="257"/>
      <c r="J53" s="257"/>
      <c r="K53" s="257"/>
      <c r="M53" s="257"/>
      <c r="N53" s="257"/>
      <c r="O53" s="257"/>
      <c r="P53" s="257"/>
    </row>
    <row r="54" spans="1:16" x14ac:dyDescent="0.15">
      <c r="A54" s="251"/>
      <c r="B54" s="253" t="s">
        <v>1</v>
      </c>
      <c r="C54" s="253">
        <v>5000</v>
      </c>
      <c r="D54" s="254">
        <f t="shared" si="15"/>
        <v>1500</v>
      </c>
      <c r="E54" s="254">
        <f t="shared" si="16"/>
        <v>2500</v>
      </c>
      <c r="F54" s="254">
        <f t="shared" si="17"/>
        <v>4000</v>
      </c>
      <c r="H54" s="257"/>
      <c r="I54" s="257"/>
      <c r="J54" s="257"/>
      <c r="K54" s="257"/>
      <c r="M54" s="257"/>
      <c r="N54" s="257"/>
      <c r="O54" s="257"/>
      <c r="P54" s="257"/>
    </row>
    <row r="57" spans="1:16" x14ac:dyDescent="0.15">
      <c r="H57" s="248" t="s">
        <v>97</v>
      </c>
      <c r="M57" s="248" t="s">
        <v>88</v>
      </c>
    </row>
    <row r="58" spans="1:16" x14ac:dyDescent="0.15">
      <c r="A58" s="249" t="s">
        <v>102</v>
      </c>
      <c r="B58" s="252"/>
      <c r="C58" s="254" t="s">
        <v>81</v>
      </c>
      <c r="D58" s="256" t="s">
        <v>93</v>
      </c>
      <c r="E58" s="254" t="s">
        <v>94</v>
      </c>
      <c r="F58" s="254" t="s">
        <v>95</v>
      </c>
      <c r="H58" s="254" t="s">
        <v>81</v>
      </c>
      <c r="I58" s="254" t="s">
        <v>93</v>
      </c>
      <c r="J58" s="254" t="s">
        <v>94</v>
      </c>
      <c r="K58" s="254" t="s">
        <v>95</v>
      </c>
      <c r="M58" s="254" t="s">
        <v>81</v>
      </c>
      <c r="N58" s="254" t="s">
        <v>93</v>
      </c>
      <c r="O58" s="254" t="s">
        <v>94</v>
      </c>
      <c r="P58" s="254" t="s">
        <v>95</v>
      </c>
    </row>
    <row r="59" spans="1:16" x14ac:dyDescent="0.15">
      <c r="A59" s="250" t="s">
        <v>69</v>
      </c>
      <c r="B59" s="253" t="s">
        <v>17</v>
      </c>
      <c r="C59" s="255">
        <v>25000</v>
      </c>
      <c r="D59" s="254">
        <f t="shared" ref="D59:D64" si="18">C59*0.3</f>
        <v>7500</v>
      </c>
      <c r="E59" s="254">
        <f t="shared" ref="E59:E64" si="19">C59*0.5</f>
        <v>12500</v>
      </c>
      <c r="F59" s="254">
        <f t="shared" ref="F59:F64" si="20">C59*0.8</f>
        <v>20000</v>
      </c>
      <c r="H59" s="257"/>
      <c r="I59" s="257"/>
      <c r="J59" s="257"/>
      <c r="K59" s="257"/>
      <c r="M59" s="257"/>
      <c r="N59" s="257"/>
      <c r="O59" s="257"/>
      <c r="P59" s="257"/>
    </row>
    <row r="60" spans="1:16" x14ac:dyDescent="0.15">
      <c r="A60" s="251"/>
      <c r="B60" s="253" t="s">
        <v>1</v>
      </c>
      <c r="C60" s="253">
        <v>23500</v>
      </c>
      <c r="D60" s="254">
        <f t="shared" si="18"/>
        <v>7050</v>
      </c>
      <c r="E60" s="254">
        <f t="shared" si="19"/>
        <v>11750</v>
      </c>
      <c r="F60" s="254">
        <f t="shared" si="20"/>
        <v>18800</v>
      </c>
      <c r="H60" s="254">
        <f>C60*0.5</f>
        <v>11750</v>
      </c>
      <c r="I60" s="254">
        <f>D60*0.5</f>
        <v>3525</v>
      </c>
      <c r="J60" s="254">
        <f>E60*0.5</f>
        <v>5875</v>
      </c>
      <c r="K60" s="254">
        <f>F60*0.5</f>
        <v>9400</v>
      </c>
      <c r="M60" s="254">
        <f>C60*0.75</f>
        <v>17625</v>
      </c>
      <c r="N60" s="254">
        <f>D60*0.75</f>
        <v>5287.5</v>
      </c>
      <c r="O60" s="254">
        <f>E60*0.75</f>
        <v>8812.5</v>
      </c>
      <c r="P60" s="254">
        <f>F60*0.75</f>
        <v>14100</v>
      </c>
    </row>
    <row r="61" spans="1:16" x14ac:dyDescent="0.15">
      <c r="A61" s="250" t="s">
        <v>79</v>
      </c>
      <c r="B61" s="253" t="s">
        <v>17</v>
      </c>
      <c r="C61" s="253">
        <v>7400</v>
      </c>
      <c r="D61" s="254">
        <f t="shared" si="18"/>
        <v>2220</v>
      </c>
      <c r="E61" s="254">
        <f t="shared" si="19"/>
        <v>3700</v>
      </c>
      <c r="F61" s="254">
        <f t="shared" si="20"/>
        <v>5920</v>
      </c>
      <c r="H61" s="257"/>
      <c r="I61" s="257"/>
      <c r="J61" s="257"/>
      <c r="K61" s="257"/>
      <c r="M61" s="257"/>
      <c r="N61" s="257"/>
      <c r="O61" s="257"/>
      <c r="P61" s="257"/>
    </row>
    <row r="62" spans="1:16" x14ac:dyDescent="0.15">
      <c r="A62" s="251"/>
      <c r="B62" s="253" t="s">
        <v>1</v>
      </c>
      <c r="C62" s="253">
        <v>5800</v>
      </c>
      <c r="D62" s="254">
        <f t="shared" si="18"/>
        <v>1740</v>
      </c>
      <c r="E62" s="254">
        <f t="shared" si="19"/>
        <v>2900</v>
      </c>
      <c r="F62" s="254">
        <f t="shared" si="20"/>
        <v>4640</v>
      </c>
      <c r="H62" s="254">
        <f>C62*0.5</f>
        <v>2900</v>
      </c>
      <c r="I62" s="254">
        <f>D62*0.5</f>
        <v>870</v>
      </c>
      <c r="J62" s="254">
        <f>E62*0.5</f>
        <v>1450</v>
      </c>
      <c r="K62" s="254">
        <f>F62*0.5</f>
        <v>2320</v>
      </c>
      <c r="M62" s="254">
        <f>C62*0.75</f>
        <v>4350</v>
      </c>
      <c r="N62" s="254">
        <f>D62*0.75</f>
        <v>1305</v>
      </c>
      <c r="O62" s="254">
        <f>E62*0.75</f>
        <v>2175</v>
      </c>
      <c r="P62" s="254">
        <f>F62*0.75</f>
        <v>3480</v>
      </c>
    </row>
    <row r="63" spans="1:16" x14ac:dyDescent="0.15">
      <c r="A63" s="250" t="s">
        <v>43</v>
      </c>
      <c r="B63" s="253" t="s">
        <v>17</v>
      </c>
      <c r="C63" s="253">
        <v>9400</v>
      </c>
      <c r="D63" s="254">
        <f t="shared" si="18"/>
        <v>2820</v>
      </c>
      <c r="E63" s="254">
        <f t="shared" si="19"/>
        <v>4700</v>
      </c>
      <c r="F63" s="254">
        <f t="shared" si="20"/>
        <v>7520</v>
      </c>
      <c r="H63" s="257"/>
      <c r="I63" s="257"/>
      <c r="J63" s="257"/>
      <c r="K63" s="257"/>
      <c r="M63" s="257"/>
      <c r="N63" s="257"/>
      <c r="O63" s="257"/>
      <c r="P63" s="257"/>
    </row>
    <row r="64" spans="1:16" x14ac:dyDescent="0.15">
      <c r="A64" s="251"/>
      <c r="B64" s="253" t="s">
        <v>1</v>
      </c>
      <c r="C64" s="253">
        <v>6100</v>
      </c>
      <c r="D64" s="254">
        <f t="shared" si="18"/>
        <v>1830</v>
      </c>
      <c r="E64" s="254">
        <f t="shared" si="19"/>
        <v>3050</v>
      </c>
      <c r="F64" s="254">
        <f t="shared" si="20"/>
        <v>4880</v>
      </c>
      <c r="H64" s="257"/>
      <c r="I64" s="257"/>
      <c r="J64" s="257"/>
      <c r="K64" s="257"/>
      <c r="M64" s="257"/>
      <c r="N64" s="257"/>
      <c r="O64" s="257"/>
      <c r="P64" s="257"/>
    </row>
    <row r="66" spans="1:16" x14ac:dyDescent="0.15">
      <c r="A66" s="249" t="s">
        <v>103</v>
      </c>
      <c r="B66" s="252"/>
      <c r="C66" s="254" t="s">
        <v>81</v>
      </c>
      <c r="D66" s="256" t="s">
        <v>93</v>
      </c>
      <c r="E66" s="254" t="s">
        <v>94</v>
      </c>
      <c r="F66" s="254" t="s">
        <v>95</v>
      </c>
      <c r="H66" s="254" t="s">
        <v>81</v>
      </c>
      <c r="I66" s="254" t="s">
        <v>93</v>
      </c>
      <c r="J66" s="254" t="s">
        <v>94</v>
      </c>
      <c r="K66" s="254" t="s">
        <v>95</v>
      </c>
      <c r="M66" s="254" t="s">
        <v>81</v>
      </c>
      <c r="N66" s="254" t="s">
        <v>93</v>
      </c>
      <c r="O66" s="254" t="s">
        <v>94</v>
      </c>
      <c r="P66" s="254" t="s">
        <v>95</v>
      </c>
    </row>
    <row r="67" spans="1:16" x14ac:dyDescent="0.15">
      <c r="A67" s="250" t="s">
        <v>69</v>
      </c>
      <c r="B67" s="253" t="s">
        <v>17</v>
      </c>
      <c r="C67" s="255">
        <v>25000</v>
      </c>
      <c r="D67" s="254">
        <f t="shared" ref="D67:D72" si="21">C67*0.3</f>
        <v>7500</v>
      </c>
      <c r="E67" s="254">
        <f t="shared" ref="E67:E72" si="22">C67*0.5</f>
        <v>12500</v>
      </c>
      <c r="F67" s="254">
        <f t="shared" ref="F67:F72" si="23">C67*0.8</f>
        <v>20000</v>
      </c>
      <c r="H67" s="257"/>
      <c r="I67" s="257"/>
      <c r="J67" s="257"/>
      <c r="K67" s="257"/>
      <c r="M67" s="257"/>
      <c r="N67" s="257"/>
      <c r="O67" s="257"/>
      <c r="P67" s="257"/>
    </row>
    <row r="68" spans="1:16" x14ac:dyDescent="0.15">
      <c r="A68" s="251"/>
      <c r="B68" s="253" t="s">
        <v>1</v>
      </c>
      <c r="C68" s="253">
        <v>23500</v>
      </c>
      <c r="D68" s="254">
        <f t="shared" si="21"/>
        <v>7050</v>
      </c>
      <c r="E68" s="254">
        <f t="shared" si="22"/>
        <v>11750</v>
      </c>
      <c r="F68" s="254">
        <f t="shared" si="23"/>
        <v>18800</v>
      </c>
      <c r="H68" s="254">
        <f>C68*0.5</f>
        <v>11750</v>
      </c>
      <c r="I68" s="254">
        <f>D68*0.5</f>
        <v>3525</v>
      </c>
      <c r="J68" s="254">
        <f>E68*0.5</f>
        <v>5875</v>
      </c>
      <c r="K68" s="254">
        <f>F68*0.5</f>
        <v>9400</v>
      </c>
      <c r="M68" s="254">
        <f>C68*0.75</f>
        <v>17625</v>
      </c>
      <c r="N68" s="254">
        <f>D68*0.75</f>
        <v>5287.5</v>
      </c>
      <c r="O68" s="254">
        <f>E68*0.75</f>
        <v>8812.5</v>
      </c>
      <c r="P68" s="254">
        <f>F68*0.75</f>
        <v>14100</v>
      </c>
    </row>
    <row r="69" spans="1:16" x14ac:dyDescent="0.15">
      <c r="A69" s="250" t="s">
        <v>79</v>
      </c>
      <c r="B69" s="253" t="s">
        <v>17</v>
      </c>
      <c r="C69" s="253">
        <v>7400</v>
      </c>
      <c r="D69" s="254">
        <f t="shared" si="21"/>
        <v>2220</v>
      </c>
      <c r="E69" s="254">
        <f t="shared" si="22"/>
        <v>3700</v>
      </c>
      <c r="F69" s="254">
        <f t="shared" si="23"/>
        <v>5920</v>
      </c>
      <c r="H69" s="257"/>
      <c r="I69" s="257"/>
      <c r="J69" s="257"/>
      <c r="K69" s="257"/>
      <c r="M69" s="257"/>
      <c r="N69" s="257"/>
      <c r="O69" s="257"/>
      <c r="P69" s="257"/>
    </row>
    <row r="70" spans="1:16" x14ac:dyDescent="0.15">
      <c r="A70" s="251"/>
      <c r="B70" s="253" t="s">
        <v>1</v>
      </c>
      <c r="C70" s="253">
        <v>5800</v>
      </c>
      <c r="D70" s="254">
        <f t="shared" si="21"/>
        <v>1740</v>
      </c>
      <c r="E70" s="254">
        <f t="shared" si="22"/>
        <v>2900</v>
      </c>
      <c r="F70" s="254">
        <f t="shared" si="23"/>
        <v>4640</v>
      </c>
      <c r="H70" s="254">
        <f>C70*0.5</f>
        <v>2900</v>
      </c>
      <c r="I70" s="254">
        <f>D70*0.5</f>
        <v>870</v>
      </c>
      <c r="J70" s="254">
        <f>E70*0.5</f>
        <v>1450</v>
      </c>
      <c r="K70" s="254">
        <f>F70*0.5</f>
        <v>2320</v>
      </c>
      <c r="M70" s="254">
        <f>C70*0.75</f>
        <v>4350</v>
      </c>
      <c r="N70" s="254">
        <f>D70*0.75</f>
        <v>1305</v>
      </c>
      <c r="O70" s="254">
        <f>E70*0.75</f>
        <v>2175</v>
      </c>
      <c r="P70" s="254">
        <f>F70*0.75</f>
        <v>3480</v>
      </c>
    </row>
    <row r="71" spans="1:16" x14ac:dyDescent="0.15">
      <c r="A71" s="250" t="s">
        <v>43</v>
      </c>
      <c r="B71" s="253" t="s">
        <v>17</v>
      </c>
      <c r="C71" s="253">
        <v>9400</v>
      </c>
      <c r="D71" s="254">
        <f t="shared" si="21"/>
        <v>2820</v>
      </c>
      <c r="E71" s="254">
        <f t="shared" si="22"/>
        <v>4700</v>
      </c>
      <c r="F71" s="254">
        <f t="shared" si="23"/>
        <v>7520</v>
      </c>
      <c r="H71" s="257"/>
      <c r="I71" s="257"/>
      <c r="J71" s="257"/>
      <c r="K71" s="257"/>
      <c r="M71" s="257"/>
      <c r="N71" s="257"/>
      <c r="O71" s="257"/>
      <c r="P71" s="257"/>
    </row>
    <row r="72" spans="1:16" x14ac:dyDescent="0.15">
      <c r="A72" s="251"/>
      <c r="B72" s="253" t="s">
        <v>1</v>
      </c>
      <c r="C72" s="253">
        <v>6100</v>
      </c>
      <c r="D72" s="254">
        <f t="shared" si="21"/>
        <v>1830</v>
      </c>
      <c r="E72" s="254">
        <f t="shared" si="22"/>
        <v>3050</v>
      </c>
      <c r="F72" s="254">
        <f t="shared" si="23"/>
        <v>4880</v>
      </c>
      <c r="H72" s="257"/>
      <c r="I72" s="257"/>
      <c r="J72" s="257"/>
      <c r="K72" s="257"/>
      <c r="M72" s="257"/>
      <c r="N72" s="257"/>
      <c r="O72" s="257"/>
      <c r="P72" s="257"/>
    </row>
    <row r="75" spans="1:16" x14ac:dyDescent="0.15">
      <c r="H75" s="248" t="s">
        <v>97</v>
      </c>
      <c r="M75" s="248" t="s">
        <v>88</v>
      </c>
    </row>
    <row r="76" spans="1:16" x14ac:dyDescent="0.15">
      <c r="A76" s="249" t="s">
        <v>102</v>
      </c>
      <c r="B76" s="252"/>
      <c r="C76" s="254" t="s">
        <v>81</v>
      </c>
      <c r="D76" s="256" t="s">
        <v>93</v>
      </c>
      <c r="E76" s="254" t="s">
        <v>94</v>
      </c>
      <c r="F76" s="254" t="s">
        <v>95</v>
      </c>
      <c r="H76" s="254" t="s">
        <v>81</v>
      </c>
      <c r="I76" s="254" t="s">
        <v>93</v>
      </c>
      <c r="J76" s="254" t="s">
        <v>94</v>
      </c>
      <c r="K76" s="254" t="s">
        <v>95</v>
      </c>
      <c r="M76" s="254" t="s">
        <v>81</v>
      </c>
      <c r="N76" s="254" t="s">
        <v>93</v>
      </c>
      <c r="O76" s="254" t="s">
        <v>94</v>
      </c>
      <c r="P76" s="254" t="s">
        <v>95</v>
      </c>
    </row>
    <row r="77" spans="1:16" x14ac:dyDescent="0.15">
      <c r="A77" s="250" t="s">
        <v>69</v>
      </c>
      <c r="B77" s="253" t="s">
        <v>17</v>
      </c>
      <c r="C77" s="255">
        <v>25000</v>
      </c>
      <c r="D77" s="254">
        <f t="shared" ref="D77:D82" si="24">C77*0.3</f>
        <v>7500</v>
      </c>
      <c r="E77" s="254">
        <f t="shared" ref="E77:E82" si="25">C77*0.5</f>
        <v>12500</v>
      </c>
      <c r="F77" s="254">
        <f t="shared" ref="F77:F82" si="26">C77*0.8</f>
        <v>20000</v>
      </c>
      <c r="H77" s="257"/>
      <c r="I77" s="257"/>
      <c r="J77" s="257"/>
      <c r="K77" s="257"/>
      <c r="M77" s="257"/>
      <c r="N77" s="257"/>
      <c r="O77" s="257"/>
      <c r="P77" s="257"/>
    </row>
    <row r="78" spans="1:16" x14ac:dyDescent="0.15">
      <c r="A78" s="251"/>
      <c r="B78" s="253" t="s">
        <v>1</v>
      </c>
      <c r="C78" s="253">
        <v>23500</v>
      </c>
      <c r="D78" s="254">
        <f t="shared" si="24"/>
        <v>7050</v>
      </c>
      <c r="E78" s="254">
        <f t="shared" si="25"/>
        <v>11750</v>
      </c>
      <c r="F78" s="254">
        <f t="shared" si="26"/>
        <v>18800</v>
      </c>
      <c r="H78" s="254">
        <f>C78*0.5</f>
        <v>11750</v>
      </c>
      <c r="I78" s="254">
        <f>D78*0.5</f>
        <v>3525</v>
      </c>
      <c r="J78" s="254">
        <f>E78*0.5</f>
        <v>5875</v>
      </c>
      <c r="K78" s="254">
        <f>F78*0.5</f>
        <v>9400</v>
      </c>
      <c r="M78" s="254">
        <f>C78*0.75</f>
        <v>17625</v>
      </c>
      <c r="N78" s="254">
        <f>D78*0.75</f>
        <v>5287.5</v>
      </c>
      <c r="O78" s="254">
        <f>E78*0.75</f>
        <v>8812.5</v>
      </c>
      <c r="P78" s="254">
        <f>F78*0.75</f>
        <v>14100</v>
      </c>
    </row>
    <row r="79" spans="1:16" x14ac:dyDescent="0.15">
      <c r="A79" s="250" t="s">
        <v>79</v>
      </c>
      <c r="B79" s="253" t="s">
        <v>17</v>
      </c>
      <c r="C79" s="253">
        <v>7400</v>
      </c>
      <c r="D79" s="254">
        <f t="shared" si="24"/>
        <v>2220</v>
      </c>
      <c r="E79" s="254">
        <f t="shared" si="25"/>
        <v>3700</v>
      </c>
      <c r="F79" s="254">
        <f t="shared" si="26"/>
        <v>5920</v>
      </c>
      <c r="H79" s="257"/>
      <c r="I79" s="257"/>
      <c r="J79" s="257"/>
      <c r="K79" s="257"/>
      <c r="M79" s="257"/>
      <c r="N79" s="257"/>
      <c r="O79" s="257"/>
      <c r="P79" s="257"/>
    </row>
    <row r="80" spans="1:16" x14ac:dyDescent="0.15">
      <c r="A80" s="251"/>
      <c r="B80" s="253" t="s">
        <v>1</v>
      </c>
      <c r="C80" s="253">
        <v>5800</v>
      </c>
      <c r="D80" s="254">
        <f t="shared" si="24"/>
        <v>1740</v>
      </c>
      <c r="E80" s="254">
        <f t="shared" si="25"/>
        <v>2900</v>
      </c>
      <c r="F80" s="254">
        <f t="shared" si="26"/>
        <v>4640</v>
      </c>
      <c r="H80" s="254">
        <f>C80*0.5</f>
        <v>2900</v>
      </c>
      <c r="I80" s="254">
        <f>D80*0.5</f>
        <v>870</v>
      </c>
      <c r="J80" s="254">
        <f>E80*0.5</f>
        <v>1450</v>
      </c>
      <c r="K80" s="254">
        <f>F80*0.5</f>
        <v>2320</v>
      </c>
      <c r="M80" s="254">
        <f>C80*0.75</f>
        <v>4350</v>
      </c>
      <c r="N80" s="254">
        <f>D80*0.75</f>
        <v>1305</v>
      </c>
      <c r="O80" s="254">
        <f>E80*0.75</f>
        <v>2175</v>
      </c>
      <c r="P80" s="254">
        <f>F80*0.75</f>
        <v>3480</v>
      </c>
    </row>
    <row r="81" spans="1:16" x14ac:dyDescent="0.15">
      <c r="A81" s="250" t="s">
        <v>43</v>
      </c>
      <c r="B81" s="253" t="s">
        <v>17</v>
      </c>
      <c r="C81" s="253">
        <v>9400</v>
      </c>
      <c r="D81" s="254">
        <f t="shared" si="24"/>
        <v>2820</v>
      </c>
      <c r="E81" s="254">
        <f t="shared" si="25"/>
        <v>4700</v>
      </c>
      <c r="F81" s="254">
        <f t="shared" si="26"/>
        <v>7520</v>
      </c>
      <c r="H81" s="257"/>
      <c r="I81" s="257"/>
      <c r="J81" s="257"/>
      <c r="K81" s="257"/>
      <c r="M81" s="257"/>
      <c r="N81" s="257"/>
      <c r="O81" s="257"/>
      <c r="P81" s="257"/>
    </row>
    <row r="82" spans="1:16" x14ac:dyDescent="0.15">
      <c r="A82" s="251"/>
      <c r="B82" s="253" t="s">
        <v>1</v>
      </c>
      <c r="C82" s="253">
        <v>6100</v>
      </c>
      <c r="D82" s="254">
        <f t="shared" si="24"/>
        <v>1830</v>
      </c>
      <c r="E82" s="254">
        <f t="shared" si="25"/>
        <v>3050</v>
      </c>
      <c r="F82" s="254">
        <f t="shared" si="26"/>
        <v>4880</v>
      </c>
      <c r="H82" s="257"/>
      <c r="I82" s="257"/>
      <c r="J82" s="257"/>
      <c r="K82" s="257"/>
      <c r="M82" s="257"/>
      <c r="N82" s="257"/>
      <c r="O82" s="257"/>
      <c r="P82" s="257"/>
    </row>
    <row r="84" spans="1:16" x14ac:dyDescent="0.15">
      <c r="A84" s="249" t="s">
        <v>103</v>
      </c>
      <c r="B84" s="252"/>
      <c r="C84" s="254" t="s">
        <v>81</v>
      </c>
      <c r="D84" s="256" t="s">
        <v>93</v>
      </c>
      <c r="E84" s="254" t="s">
        <v>94</v>
      </c>
      <c r="F84" s="254" t="s">
        <v>95</v>
      </c>
      <c r="H84" s="254" t="s">
        <v>81</v>
      </c>
      <c r="I84" s="254" t="s">
        <v>93</v>
      </c>
      <c r="J84" s="254" t="s">
        <v>94</v>
      </c>
      <c r="K84" s="254" t="s">
        <v>95</v>
      </c>
      <c r="M84" s="254" t="s">
        <v>81</v>
      </c>
      <c r="N84" s="254" t="s">
        <v>93</v>
      </c>
      <c r="O84" s="254" t="s">
        <v>94</v>
      </c>
      <c r="P84" s="254" t="s">
        <v>95</v>
      </c>
    </row>
    <row r="85" spans="1:16" x14ac:dyDescent="0.15">
      <c r="A85" s="250" t="s">
        <v>69</v>
      </c>
      <c r="B85" s="253" t="s">
        <v>17</v>
      </c>
      <c r="C85" s="255">
        <v>25000</v>
      </c>
      <c r="D85" s="254">
        <f t="shared" ref="D85:D90" si="27">C85*0.3</f>
        <v>7500</v>
      </c>
      <c r="E85" s="254">
        <f t="shared" ref="E85:E90" si="28">C85*0.5</f>
        <v>12500</v>
      </c>
      <c r="F85" s="254">
        <f t="shared" ref="F85:F90" si="29">C85*0.8</f>
        <v>20000</v>
      </c>
      <c r="H85" s="257"/>
      <c r="I85" s="257"/>
      <c r="J85" s="257"/>
      <c r="K85" s="257"/>
      <c r="M85" s="257"/>
      <c r="N85" s="257"/>
      <c r="O85" s="257"/>
      <c r="P85" s="257"/>
    </row>
    <row r="86" spans="1:16" x14ac:dyDescent="0.15">
      <c r="A86" s="251"/>
      <c r="B86" s="253" t="s">
        <v>1</v>
      </c>
      <c r="C86" s="253">
        <v>23500</v>
      </c>
      <c r="D86" s="254">
        <f t="shared" si="27"/>
        <v>7050</v>
      </c>
      <c r="E86" s="254">
        <f t="shared" si="28"/>
        <v>11750</v>
      </c>
      <c r="F86" s="254">
        <f t="shared" si="29"/>
        <v>18800</v>
      </c>
      <c r="H86" s="254">
        <f>C86*0.5</f>
        <v>11750</v>
      </c>
      <c r="I86" s="254">
        <f>D86*0.5</f>
        <v>3525</v>
      </c>
      <c r="J86" s="254">
        <f>E86*0.5</f>
        <v>5875</v>
      </c>
      <c r="K86" s="254">
        <f>F86*0.5</f>
        <v>9400</v>
      </c>
      <c r="M86" s="254">
        <f>C86*0.75</f>
        <v>17625</v>
      </c>
      <c r="N86" s="254">
        <f>D86*0.75</f>
        <v>5287.5</v>
      </c>
      <c r="O86" s="254">
        <f>E86*0.75</f>
        <v>8812.5</v>
      </c>
      <c r="P86" s="254">
        <f>F86*0.75</f>
        <v>14100</v>
      </c>
    </row>
    <row r="87" spans="1:16" x14ac:dyDescent="0.15">
      <c r="A87" s="250" t="s">
        <v>79</v>
      </c>
      <c r="B87" s="253" t="s">
        <v>17</v>
      </c>
      <c r="C87" s="253">
        <v>7400</v>
      </c>
      <c r="D87" s="254">
        <f t="shared" si="27"/>
        <v>2220</v>
      </c>
      <c r="E87" s="254">
        <f t="shared" si="28"/>
        <v>3700</v>
      </c>
      <c r="F87" s="254">
        <f t="shared" si="29"/>
        <v>5920</v>
      </c>
      <c r="H87" s="257"/>
      <c r="I87" s="257"/>
      <c r="J87" s="257"/>
      <c r="K87" s="257"/>
      <c r="M87" s="257"/>
      <c r="N87" s="257"/>
      <c r="O87" s="257"/>
      <c r="P87" s="257"/>
    </row>
    <row r="88" spans="1:16" x14ac:dyDescent="0.15">
      <c r="A88" s="251"/>
      <c r="B88" s="253" t="s">
        <v>1</v>
      </c>
      <c r="C88" s="253">
        <v>5800</v>
      </c>
      <c r="D88" s="254">
        <f t="shared" si="27"/>
        <v>1740</v>
      </c>
      <c r="E88" s="254">
        <f t="shared" si="28"/>
        <v>2900</v>
      </c>
      <c r="F88" s="254">
        <f t="shared" si="29"/>
        <v>4640</v>
      </c>
      <c r="H88" s="254">
        <f>C88*0.5</f>
        <v>2900</v>
      </c>
      <c r="I88" s="254">
        <f>D88*0.5</f>
        <v>870</v>
      </c>
      <c r="J88" s="254">
        <f>E88*0.5</f>
        <v>1450</v>
      </c>
      <c r="K88" s="254">
        <f>F88*0.5</f>
        <v>2320</v>
      </c>
      <c r="M88" s="254">
        <f>C88*0.75</f>
        <v>4350</v>
      </c>
      <c r="N88" s="254">
        <f>D88*0.75</f>
        <v>1305</v>
      </c>
      <c r="O88" s="254">
        <f>E88*0.75</f>
        <v>2175</v>
      </c>
      <c r="P88" s="254">
        <f>F88*0.75</f>
        <v>3480</v>
      </c>
    </row>
    <row r="89" spans="1:16" x14ac:dyDescent="0.15">
      <c r="A89" s="250" t="s">
        <v>43</v>
      </c>
      <c r="B89" s="253" t="s">
        <v>17</v>
      </c>
      <c r="C89" s="253">
        <v>9400</v>
      </c>
      <c r="D89" s="254">
        <f t="shared" si="27"/>
        <v>2820</v>
      </c>
      <c r="E89" s="254">
        <f t="shared" si="28"/>
        <v>4700</v>
      </c>
      <c r="F89" s="254">
        <f t="shared" si="29"/>
        <v>7520</v>
      </c>
      <c r="H89" s="257"/>
      <c r="I89" s="257"/>
      <c r="J89" s="257"/>
      <c r="K89" s="257"/>
      <c r="M89" s="257"/>
      <c r="N89" s="257"/>
      <c r="O89" s="257"/>
      <c r="P89" s="257"/>
    </row>
    <row r="90" spans="1:16" x14ac:dyDescent="0.15">
      <c r="A90" s="251"/>
      <c r="B90" s="253" t="s">
        <v>1</v>
      </c>
      <c r="C90" s="253">
        <v>6100</v>
      </c>
      <c r="D90" s="254">
        <f t="shared" si="27"/>
        <v>1830</v>
      </c>
      <c r="E90" s="254">
        <f t="shared" si="28"/>
        <v>3050</v>
      </c>
      <c r="F90" s="254">
        <f t="shared" si="29"/>
        <v>4880</v>
      </c>
      <c r="H90" s="257"/>
      <c r="I90" s="257"/>
      <c r="J90" s="257"/>
      <c r="K90" s="257"/>
      <c r="M90" s="257"/>
      <c r="N90" s="257"/>
      <c r="O90" s="257"/>
      <c r="P90" s="257"/>
    </row>
    <row r="93" spans="1:16" x14ac:dyDescent="0.15">
      <c r="H93" s="248" t="s">
        <v>97</v>
      </c>
      <c r="M93" s="248" t="s">
        <v>88</v>
      </c>
    </row>
    <row r="94" spans="1:16" x14ac:dyDescent="0.15">
      <c r="A94" s="249" t="s">
        <v>102</v>
      </c>
      <c r="B94" s="252"/>
      <c r="C94" s="254" t="s">
        <v>81</v>
      </c>
      <c r="D94" s="256" t="s">
        <v>93</v>
      </c>
      <c r="E94" s="254" t="s">
        <v>94</v>
      </c>
      <c r="F94" s="254" t="s">
        <v>95</v>
      </c>
      <c r="H94" s="254" t="s">
        <v>81</v>
      </c>
      <c r="I94" s="254" t="s">
        <v>93</v>
      </c>
      <c r="J94" s="254" t="s">
        <v>94</v>
      </c>
      <c r="K94" s="254" t="s">
        <v>95</v>
      </c>
      <c r="M94" s="254" t="s">
        <v>81</v>
      </c>
      <c r="N94" s="254" t="s">
        <v>93</v>
      </c>
      <c r="O94" s="254" t="s">
        <v>94</v>
      </c>
      <c r="P94" s="254" t="s">
        <v>95</v>
      </c>
    </row>
    <row r="95" spans="1:16" x14ac:dyDescent="0.15">
      <c r="A95" s="250" t="s">
        <v>69</v>
      </c>
      <c r="B95" s="253" t="s">
        <v>17</v>
      </c>
      <c r="C95" s="255">
        <v>25000</v>
      </c>
      <c r="D95" s="254">
        <f t="shared" ref="D95:D100" si="30">C95*0.3</f>
        <v>7500</v>
      </c>
      <c r="E95" s="254">
        <f t="shared" ref="E95:E100" si="31">C95*0.5</f>
        <v>12500</v>
      </c>
      <c r="F95" s="254">
        <f t="shared" ref="F95:F100" si="32">C95*0.8</f>
        <v>20000</v>
      </c>
      <c r="H95" s="257"/>
      <c r="I95" s="257"/>
      <c r="J95" s="257"/>
      <c r="K95" s="257"/>
      <c r="M95" s="257"/>
      <c r="N95" s="257"/>
      <c r="O95" s="257"/>
      <c r="P95" s="257"/>
    </row>
    <row r="96" spans="1:16" x14ac:dyDescent="0.15">
      <c r="A96" s="251"/>
      <c r="B96" s="253" t="s">
        <v>1</v>
      </c>
      <c r="C96" s="253">
        <v>23500</v>
      </c>
      <c r="D96" s="254">
        <f t="shared" si="30"/>
        <v>7050</v>
      </c>
      <c r="E96" s="254">
        <f t="shared" si="31"/>
        <v>11750</v>
      </c>
      <c r="F96" s="254">
        <f t="shared" si="32"/>
        <v>18800</v>
      </c>
      <c r="H96" s="254">
        <f>C96*0.5</f>
        <v>11750</v>
      </c>
      <c r="I96" s="254">
        <f>D96*0.5</f>
        <v>3525</v>
      </c>
      <c r="J96" s="254">
        <f>E96*0.5</f>
        <v>5875</v>
      </c>
      <c r="K96" s="254">
        <f>F96*0.5</f>
        <v>9400</v>
      </c>
      <c r="M96" s="254">
        <f>C96*0.75</f>
        <v>17625</v>
      </c>
      <c r="N96" s="254">
        <f>D96*0.75</f>
        <v>5287.5</v>
      </c>
      <c r="O96" s="254">
        <f>E96*0.75</f>
        <v>8812.5</v>
      </c>
      <c r="P96" s="254">
        <f>F96*0.75</f>
        <v>14100</v>
      </c>
    </row>
    <row r="97" spans="1:16" x14ac:dyDescent="0.15">
      <c r="A97" s="250" t="s">
        <v>79</v>
      </c>
      <c r="B97" s="253" t="s">
        <v>17</v>
      </c>
      <c r="C97" s="253">
        <v>7400</v>
      </c>
      <c r="D97" s="254">
        <f t="shared" si="30"/>
        <v>2220</v>
      </c>
      <c r="E97" s="254">
        <f t="shared" si="31"/>
        <v>3700</v>
      </c>
      <c r="F97" s="254">
        <f t="shared" si="32"/>
        <v>5920</v>
      </c>
      <c r="H97" s="257"/>
      <c r="I97" s="257"/>
      <c r="J97" s="257"/>
      <c r="K97" s="257"/>
      <c r="M97" s="257"/>
      <c r="N97" s="257"/>
      <c r="O97" s="257"/>
      <c r="P97" s="257"/>
    </row>
    <row r="98" spans="1:16" x14ac:dyDescent="0.15">
      <c r="A98" s="251"/>
      <c r="B98" s="253" t="s">
        <v>1</v>
      </c>
      <c r="C98" s="253">
        <v>5800</v>
      </c>
      <c r="D98" s="254">
        <f t="shared" si="30"/>
        <v>1740</v>
      </c>
      <c r="E98" s="254">
        <f t="shared" si="31"/>
        <v>2900</v>
      </c>
      <c r="F98" s="254">
        <f t="shared" si="32"/>
        <v>4640</v>
      </c>
      <c r="H98" s="254">
        <f>C98*0.5</f>
        <v>2900</v>
      </c>
      <c r="I98" s="254">
        <f>D98*0.5</f>
        <v>870</v>
      </c>
      <c r="J98" s="254">
        <f>E98*0.5</f>
        <v>1450</v>
      </c>
      <c r="K98" s="254">
        <f>F98*0.5</f>
        <v>2320</v>
      </c>
      <c r="M98" s="254">
        <f>C98*0.75</f>
        <v>4350</v>
      </c>
      <c r="N98" s="254">
        <f>D98*0.75</f>
        <v>1305</v>
      </c>
      <c r="O98" s="254">
        <f>E98*0.75</f>
        <v>2175</v>
      </c>
      <c r="P98" s="254">
        <f>F98*0.75</f>
        <v>3480</v>
      </c>
    </row>
    <row r="99" spans="1:16" x14ac:dyDescent="0.15">
      <c r="A99" s="250" t="s">
        <v>43</v>
      </c>
      <c r="B99" s="253" t="s">
        <v>17</v>
      </c>
      <c r="C99" s="253">
        <v>9400</v>
      </c>
      <c r="D99" s="254">
        <f t="shared" si="30"/>
        <v>2820</v>
      </c>
      <c r="E99" s="254">
        <f t="shared" si="31"/>
        <v>4700</v>
      </c>
      <c r="F99" s="254">
        <f t="shared" si="32"/>
        <v>7520</v>
      </c>
      <c r="H99" s="257"/>
      <c r="I99" s="257"/>
      <c r="J99" s="257"/>
      <c r="K99" s="257"/>
      <c r="M99" s="257"/>
      <c r="N99" s="257"/>
      <c r="O99" s="257"/>
      <c r="P99" s="257"/>
    </row>
    <row r="100" spans="1:16" x14ac:dyDescent="0.15">
      <c r="A100" s="251"/>
      <c r="B100" s="253" t="s">
        <v>1</v>
      </c>
      <c r="C100" s="253">
        <v>6100</v>
      </c>
      <c r="D100" s="254">
        <f t="shared" si="30"/>
        <v>1830</v>
      </c>
      <c r="E100" s="254">
        <f t="shared" si="31"/>
        <v>3050</v>
      </c>
      <c r="F100" s="254">
        <f t="shared" si="32"/>
        <v>4880</v>
      </c>
      <c r="H100" s="257"/>
      <c r="I100" s="257"/>
      <c r="J100" s="257"/>
      <c r="K100" s="257"/>
      <c r="M100" s="257"/>
      <c r="N100" s="257"/>
      <c r="O100" s="257"/>
      <c r="P100" s="257"/>
    </row>
    <row r="102" spans="1:16" x14ac:dyDescent="0.15">
      <c r="A102" s="249" t="s">
        <v>103</v>
      </c>
      <c r="B102" s="252"/>
      <c r="C102" s="254" t="s">
        <v>81</v>
      </c>
      <c r="D102" s="256" t="s">
        <v>93</v>
      </c>
      <c r="E102" s="254" t="s">
        <v>94</v>
      </c>
      <c r="F102" s="254" t="s">
        <v>95</v>
      </c>
      <c r="H102" s="254" t="s">
        <v>81</v>
      </c>
      <c r="I102" s="254" t="s">
        <v>93</v>
      </c>
      <c r="J102" s="254" t="s">
        <v>94</v>
      </c>
      <c r="K102" s="254" t="s">
        <v>95</v>
      </c>
      <c r="M102" s="254" t="s">
        <v>81</v>
      </c>
      <c r="N102" s="254" t="s">
        <v>93</v>
      </c>
      <c r="O102" s="254" t="s">
        <v>94</v>
      </c>
      <c r="P102" s="254" t="s">
        <v>95</v>
      </c>
    </row>
    <row r="103" spans="1:16" x14ac:dyDescent="0.15">
      <c r="A103" s="250" t="s">
        <v>69</v>
      </c>
      <c r="B103" s="253" t="s">
        <v>17</v>
      </c>
      <c r="C103" s="255">
        <v>25000</v>
      </c>
      <c r="D103" s="254">
        <f t="shared" ref="D103:D108" si="33">C103*0.3</f>
        <v>7500</v>
      </c>
      <c r="E103" s="254">
        <f t="shared" ref="E103:E108" si="34">C103*0.5</f>
        <v>12500</v>
      </c>
      <c r="F103" s="254">
        <f t="shared" ref="F103:F108" si="35">C103*0.8</f>
        <v>20000</v>
      </c>
      <c r="H103" s="257"/>
      <c r="I103" s="257"/>
      <c r="J103" s="257"/>
      <c r="K103" s="257"/>
      <c r="M103" s="257"/>
      <c r="N103" s="257"/>
      <c r="O103" s="257"/>
      <c r="P103" s="257"/>
    </row>
    <row r="104" spans="1:16" x14ac:dyDescent="0.15">
      <c r="A104" s="251"/>
      <c r="B104" s="253" t="s">
        <v>1</v>
      </c>
      <c r="C104" s="253">
        <v>23500</v>
      </c>
      <c r="D104" s="254">
        <f t="shared" si="33"/>
        <v>7050</v>
      </c>
      <c r="E104" s="254">
        <f t="shared" si="34"/>
        <v>11750</v>
      </c>
      <c r="F104" s="254">
        <f t="shared" si="35"/>
        <v>18800</v>
      </c>
      <c r="H104" s="254">
        <f>C104*0.5</f>
        <v>11750</v>
      </c>
      <c r="I104" s="254">
        <f>D104*0.5</f>
        <v>3525</v>
      </c>
      <c r="J104" s="254">
        <f>E104*0.5</f>
        <v>5875</v>
      </c>
      <c r="K104" s="254">
        <f>F104*0.5</f>
        <v>9400</v>
      </c>
      <c r="M104" s="254">
        <f>C104*0.75</f>
        <v>17625</v>
      </c>
      <c r="N104" s="254">
        <f>D104*0.75</f>
        <v>5287.5</v>
      </c>
      <c r="O104" s="254">
        <f>E104*0.75</f>
        <v>8812.5</v>
      </c>
      <c r="P104" s="254">
        <f>F104*0.75</f>
        <v>14100</v>
      </c>
    </row>
    <row r="105" spans="1:16" x14ac:dyDescent="0.15">
      <c r="A105" s="250" t="s">
        <v>79</v>
      </c>
      <c r="B105" s="253" t="s">
        <v>17</v>
      </c>
      <c r="C105" s="253">
        <v>7400</v>
      </c>
      <c r="D105" s="254">
        <f t="shared" si="33"/>
        <v>2220</v>
      </c>
      <c r="E105" s="254">
        <f t="shared" si="34"/>
        <v>3700</v>
      </c>
      <c r="F105" s="254">
        <f t="shared" si="35"/>
        <v>5920</v>
      </c>
      <c r="H105" s="257"/>
      <c r="I105" s="257"/>
      <c r="J105" s="257"/>
      <c r="K105" s="257"/>
      <c r="M105" s="257"/>
      <c r="N105" s="257"/>
      <c r="O105" s="257"/>
      <c r="P105" s="257"/>
    </row>
    <row r="106" spans="1:16" x14ac:dyDescent="0.15">
      <c r="A106" s="251"/>
      <c r="B106" s="253" t="s">
        <v>1</v>
      </c>
      <c r="C106" s="253">
        <v>5800</v>
      </c>
      <c r="D106" s="254">
        <f t="shared" si="33"/>
        <v>1740</v>
      </c>
      <c r="E106" s="254">
        <f t="shared" si="34"/>
        <v>2900</v>
      </c>
      <c r="F106" s="254">
        <f t="shared" si="35"/>
        <v>4640</v>
      </c>
      <c r="H106" s="254">
        <f>C106*0.5</f>
        <v>2900</v>
      </c>
      <c r="I106" s="254">
        <f>D106*0.5</f>
        <v>870</v>
      </c>
      <c r="J106" s="254">
        <f>E106*0.5</f>
        <v>1450</v>
      </c>
      <c r="K106" s="254">
        <f>F106*0.5</f>
        <v>2320</v>
      </c>
      <c r="M106" s="254">
        <f>C106*0.75</f>
        <v>4350</v>
      </c>
      <c r="N106" s="254">
        <f>D106*0.75</f>
        <v>1305</v>
      </c>
      <c r="O106" s="254">
        <f>E106*0.75</f>
        <v>2175</v>
      </c>
      <c r="P106" s="254">
        <f>F106*0.75</f>
        <v>3480</v>
      </c>
    </row>
    <row r="107" spans="1:16" x14ac:dyDescent="0.15">
      <c r="A107" s="250" t="s">
        <v>43</v>
      </c>
      <c r="B107" s="253" t="s">
        <v>17</v>
      </c>
      <c r="C107" s="253">
        <v>9400</v>
      </c>
      <c r="D107" s="254">
        <f t="shared" si="33"/>
        <v>2820</v>
      </c>
      <c r="E107" s="254">
        <f t="shared" si="34"/>
        <v>4700</v>
      </c>
      <c r="F107" s="254">
        <f t="shared" si="35"/>
        <v>7520</v>
      </c>
      <c r="H107" s="257"/>
      <c r="I107" s="257"/>
      <c r="J107" s="257"/>
      <c r="K107" s="257"/>
      <c r="M107" s="257"/>
      <c r="N107" s="257"/>
      <c r="O107" s="257"/>
      <c r="P107" s="257"/>
    </row>
    <row r="108" spans="1:16" x14ac:dyDescent="0.15">
      <c r="A108" s="251"/>
      <c r="B108" s="253" t="s">
        <v>1</v>
      </c>
      <c r="C108" s="253">
        <v>6100</v>
      </c>
      <c r="D108" s="254">
        <f t="shared" si="33"/>
        <v>1830</v>
      </c>
      <c r="E108" s="254">
        <f t="shared" si="34"/>
        <v>3050</v>
      </c>
      <c r="F108" s="254">
        <f t="shared" si="35"/>
        <v>4880</v>
      </c>
      <c r="H108" s="257"/>
      <c r="I108" s="257"/>
      <c r="J108" s="257"/>
      <c r="K108" s="257"/>
      <c r="M108" s="257"/>
      <c r="N108" s="257"/>
      <c r="O108" s="257"/>
      <c r="P108" s="257"/>
    </row>
    <row r="111" spans="1:16" x14ac:dyDescent="0.15">
      <c r="H111" s="248" t="s">
        <v>97</v>
      </c>
      <c r="M111" s="248" t="s">
        <v>88</v>
      </c>
    </row>
    <row r="112" spans="1:16" x14ac:dyDescent="0.15">
      <c r="A112" s="249" t="s">
        <v>104</v>
      </c>
      <c r="B112" s="252"/>
      <c r="C112" s="254" t="s">
        <v>81</v>
      </c>
      <c r="D112" s="256" t="s">
        <v>93</v>
      </c>
      <c r="E112" s="254" t="s">
        <v>94</v>
      </c>
      <c r="F112" s="254" t="s">
        <v>95</v>
      </c>
      <c r="H112" s="254" t="s">
        <v>81</v>
      </c>
      <c r="I112" s="254" t="s">
        <v>93</v>
      </c>
      <c r="J112" s="254" t="s">
        <v>94</v>
      </c>
      <c r="K112" s="254" t="s">
        <v>95</v>
      </c>
      <c r="M112" s="254" t="s">
        <v>81</v>
      </c>
      <c r="N112" s="254" t="s">
        <v>93</v>
      </c>
      <c r="O112" s="254" t="s">
        <v>94</v>
      </c>
      <c r="P112" s="254" t="s">
        <v>95</v>
      </c>
    </row>
    <row r="113" spans="1:16" x14ac:dyDescent="0.15">
      <c r="A113" s="250" t="s">
        <v>69</v>
      </c>
      <c r="B113" s="253" t="s">
        <v>17</v>
      </c>
      <c r="C113" s="255">
        <v>25000</v>
      </c>
      <c r="D113" s="254">
        <f t="shared" ref="D113:D118" si="36">C113*0.3</f>
        <v>7500</v>
      </c>
      <c r="E113" s="254">
        <f t="shared" ref="E113:E118" si="37">C113*0.5</f>
        <v>12500</v>
      </c>
      <c r="F113" s="254">
        <f t="shared" ref="F113:F118" si="38">C113*0.8</f>
        <v>20000</v>
      </c>
      <c r="H113" s="257"/>
      <c r="I113" s="257"/>
      <c r="J113" s="257"/>
      <c r="K113" s="257"/>
      <c r="M113" s="257"/>
      <c r="N113" s="257"/>
      <c r="O113" s="257"/>
      <c r="P113" s="257"/>
    </row>
    <row r="114" spans="1:16" x14ac:dyDescent="0.15">
      <c r="A114" s="251"/>
      <c r="B114" s="253" t="s">
        <v>1</v>
      </c>
      <c r="C114" s="253">
        <v>23500</v>
      </c>
      <c r="D114" s="254">
        <f t="shared" si="36"/>
        <v>7050</v>
      </c>
      <c r="E114" s="254">
        <f t="shared" si="37"/>
        <v>11750</v>
      </c>
      <c r="F114" s="254">
        <f t="shared" si="38"/>
        <v>18800</v>
      </c>
      <c r="H114" s="254">
        <f>C114*0.5</f>
        <v>11750</v>
      </c>
      <c r="I114" s="254">
        <f>D114*0.5</f>
        <v>3525</v>
      </c>
      <c r="J114" s="254">
        <f>E114*0.5</f>
        <v>5875</v>
      </c>
      <c r="K114" s="254">
        <f>F114*0.5</f>
        <v>9400</v>
      </c>
      <c r="M114" s="254">
        <f>C114*0.75</f>
        <v>17625</v>
      </c>
      <c r="N114" s="254">
        <f>D114*0.75</f>
        <v>5287.5</v>
      </c>
      <c r="O114" s="254">
        <f>E114*0.75</f>
        <v>8812.5</v>
      </c>
      <c r="P114" s="254">
        <f>F114*0.75</f>
        <v>14100</v>
      </c>
    </row>
    <row r="115" spans="1:16" x14ac:dyDescent="0.15">
      <c r="A115" s="250" t="s">
        <v>79</v>
      </c>
      <c r="B115" s="253" t="s">
        <v>17</v>
      </c>
      <c r="C115" s="253">
        <v>7400</v>
      </c>
      <c r="D115" s="254">
        <f t="shared" si="36"/>
        <v>2220</v>
      </c>
      <c r="E115" s="254">
        <f t="shared" si="37"/>
        <v>3700</v>
      </c>
      <c r="F115" s="254">
        <f t="shared" si="38"/>
        <v>5920</v>
      </c>
      <c r="H115" s="257"/>
      <c r="I115" s="257"/>
      <c r="J115" s="257"/>
      <c r="K115" s="257"/>
      <c r="M115" s="257"/>
      <c r="N115" s="257"/>
      <c r="O115" s="257"/>
      <c r="P115" s="257"/>
    </row>
    <row r="116" spans="1:16" x14ac:dyDescent="0.15">
      <c r="A116" s="251"/>
      <c r="B116" s="253" t="s">
        <v>1</v>
      </c>
      <c r="C116" s="253">
        <v>5800</v>
      </c>
      <c r="D116" s="254">
        <f t="shared" si="36"/>
        <v>1740</v>
      </c>
      <c r="E116" s="254">
        <f t="shared" si="37"/>
        <v>2900</v>
      </c>
      <c r="F116" s="254">
        <f t="shared" si="38"/>
        <v>4640</v>
      </c>
      <c r="H116" s="254">
        <f>C116*0.5</f>
        <v>2900</v>
      </c>
      <c r="I116" s="254">
        <f>D116*0.5</f>
        <v>870</v>
      </c>
      <c r="J116" s="254">
        <f>E116*0.5</f>
        <v>1450</v>
      </c>
      <c r="K116" s="254">
        <f>F116*0.5</f>
        <v>2320</v>
      </c>
      <c r="M116" s="254">
        <f>C116*0.75</f>
        <v>4350</v>
      </c>
      <c r="N116" s="254">
        <f>D116*0.75</f>
        <v>1305</v>
      </c>
      <c r="O116" s="254">
        <f>E116*0.75</f>
        <v>2175</v>
      </c>
      <c r="P116" s="254">
        <f>F116*0.75</f>
        <v>3480</v>
      </c>
    </row>
    <row r="117" spans="1:16" x14ac:dyDescent="0.15">
      <c r="A117" s="250" t="s">
        <v>43</v>
      </c>
      <c r="B117" s="253" t="s">
        <v>17</v>
      </c>
      <c r="C117" s="253">
        <v>9400</v>
      </c>
      <c r="D117" s="254">
        <f t="shared" si="36"/>
        <v>2820</v>
      </c>
      <c r="E117" s="254">
        <f t="shared" si="37"/>
        <v>4700</v>
      </c>
      <c r="F117" s="254">
        <f t="shared" si="38"/>
        <v>7520</v>
      </c>
      <c r="H117" s="257"/>
      <c r="I117" s="257"/>
      <c r="J117" s="257"/>
      <c r="K117" s="257"/>
      <c r="M117" s="257"/>
      <c r="N117" s="257"/>
      <c r="O117" s="257"/>
      <c r="P117" s="257"/>
    </row>
    <row r="118" spans="1:16" x14ac:dyDescent="0.15">
      <c r="A118" s="251"/>
      <c r="B118" s="253" t="s">
        <v>1</v>
      </c>
      <c r="C118" s="253">
        <v>6100</v>
      </c>
      <c r="D118" s="254">
        <f t="shared" si="36"/>
        <v>1830</v>
      </c>
      <c r="E118" s="254">
        <f t="shared" si="37"/>
        <v>3050</v>
      </c>
      <c r="F118" s="254">
        <f t="shared" si="38"/>
        <v>4880</v>
      </c>
      <c r="H118" s="257"/>
      <c r="I118" s="257"/>
      <c r="J118" s="257"/>
      <c r="K118" s="257"/>
      <c r="M118" s="257"/>
      <c r="N118" s="257"/>
      <c r="O118" s="257"/>
      <c r="P118" s="257"/>
    </row>
    <row r="120" spans="1:16" x14ac:dyDescent="0.15">
      <c r="A120" s="249" t="s">
        <v>106</v>
      </c>
      <c r="B120" s="252"/>
      <c r="C120" s="254" t="s">
        <v>81</v>
      </c>
      <c r="D120" s="256" t="s">
        <v>93</v>
      </c>
      <c r="E120" s="254" t="s">
        <v>94</v>
      </c>
      <c r="F120" s="254" t="s">
        <v>95</v>
      </c>
      <c r="H120" s="254" t="s">
        <v>81</v>
      </c>
      <c r="I120" s="254" t="s">
        <v>93</v>
      </c>
      <c r="J120" s="254" t="s">
        <v>94</v>
      </c>
      <c r="K120" s="254" t="s">
        <v>95</v>
      </c>
      <c r="M120" s="254" t="s">
        <v>81</v>
      </c>
      <c r="N120" s="254" t="s">
        <v>93</v>
      </c>
      <c r="O120" s="254" t="s">
        <v>94</v>
      </c>
      <c r="P120" s="254" t="s">
        <v>95</v>
      </c>
    </row>
    <row r="121" spans="1:16" x14ac:dyDescent="0.15">
      <c r="A121" s="250" t="s">
        <v>69</v>
      </c>
      <c r="B121" s="253" t="s">
        <v>17</v>
      </c>
      <c r="C121" s="255">
        <v>25000</v>
      </c>
      <c r="D121" s="254">
        <f t="shared" ref="D121:D126" si="39">C121*0.3</f>
        <v>7500</v>
      </c>
      <c r="E121" s="254">
        <f t="shared" ref="E121:E126" si="40">C121*0.5</f>
        <v>12500</v>
      </c>
      <c r="F121" s="254">
        <f t="shared" ref="F121:F126" si="41">C121*0.8</f>
        <v>20000</v>
      </c>
      <c r="H121" s="257"/>
      <c r="I121" s="257"/>
      <c r="J121" s="257"/>
      <c r="K121" s="257"/>
      <c r="M121" s="257"/>
      <c r="N121" s="257"/>
      <c r="O121" s="257"/>
      <c r="P121" s="257"/>
    </row>
    <row r="122" spans="1:16" x14ac:dyDescent="0.15">
      <c r="A122" s="251"/>
      <c r="B122" s="253" t="s">
        <v>1</v>
      </c>
      <c r="C122" s="253">
        <v>23500</v>
      </c>
      <c r="D122" s="254">
        <f t="shared" si="39"/>
        <v>7050</v>
      </c>
      <c r="E122" s="254">
        <f t="shared" si="40"/>
        <v>11750</v>
      </c>
      <c r="F122" s="254">
        <f t="shared" si="41"/>
        <v>18800</v>
      </c>
      <c r="H122" s="254">
        <f>C122*0.5</f>
        <v>11750</v>
      </c>
      <c r="I122" s="254">
        <f>D122*0.5</f>
        <v>3525</v>
      </c>
      <c r="J122" s="254">
        <f>E122*0.5</f>
        <v>5875</v>
      </c>
      <c r="K122" s="254">
        <f>F122*0.5</f>
        <v>9400</v>
      </c>
      <c r="M122" s="254">
        <f>C122*0.75</f>
        <v>17625</v>
      </c>
      <c r="N122" s="254">
        <f>D122*0.75</f>
        <v>5287.5</v>
      </c>
      <c r="O122" s="254">
        <f>E122*0.75</f>
        <v>8812.5</v>
      </c>
      <c r="P122" s="254">
        <f>F122*0.75</f>
        <v>14100</v>
      </c>
    </row>
    <row r="123" spans="1:16" x14ac:dyDescent="0.15">
      <c r="A123" s="250" t="s">
        <v>79</v>
      </c>
      <c r="B123" s="253" t="s">
        <v>17</v>
      </c>
      <c r="C123" s="253">
        <v>7400</v>
      </c>
      <c r="D123" s="254">
        <f t="shared" si="39"/>
        <v>2220</v>
      </c>
      <c r="E123" s="254">
        <f t="shared" si="40"/>
        <v>3700</v>
      </c>
      <c r="F123" s="254">
        <f t="shared" si="41"/>
        <v>5920</v>
      </c>
      <c r="H123" s="257"/>
      <c r="I123" s="257"/>
      <c r="J123" s="257"/>
      <c r="K123" s="257"/>
      <c r="M123" s="257"/>
      <c r="N123" s="257"/>
      <c r="O123" s="257"/>
      <c r="P123" s="257"/>
    </row>
    <row r="124" spans="1:16" x14ac:dyDescent="0.15">
      <c r="A124" s="251"/>
      <c r="B124" s="253" t="s">
        <v>1</v>
      </c>
      <c r="C124" s="253">
        <v>5800</v>
      </c>
      <c r="D124" s="254">
        <f t="shared" si="39"/>
        <v>1740</v>
      </c>
      <c r="E124" s="254">
        <f t="shared" si="40"/>
        <v>2900</v>
      </c>
      <c r="F124" s="254">
        <f t="shared" si="41"/>
        <v>4640</v>
      </c>
      <c r="H124" s="254">
        <f>C124*0.5</f>
        <v>2900</v>
      </c>
      <c r="I124" s="254">
        <f>D124*0.5</f>
        <v>870</v>
      </c>
      <c r="J124" s="254">
        <f>E124*0.5</f>
        <v>1450</v>
      </c>
      <c r="K124" s="254">
        <f>F124*0.5</f>
        <v>2320</v>
      </c>
      <c r="M124" s="254">
        <f>C124*0.75</f>
        <v>4350</v>
      </c>
      <c r="N124" s="254">
        <f>D124*0.75</f>
        <v>1305</v>
      </c>
      <c r="O124" s="254">
        <f>E124*0.75</f>
        <v>2175</v>
      </c>
      <c r="P124" s="254">
        <f>F124*0.75</f>
        <v>3480</v>
      </c>
    </row>
    <row r="125" spans="1:16" x14ac:dyDescent="0.15">
      <c r="A125" s="250" t="s">
        <v>43</v>
      </c>
      <c r="B125" s="253" t="s">
        <v>17</v>
      </c>
      <c r="C125" s="253">
        <v>9400</v>
      </c>
      <c r="D125" s="254">
        <f t="shared" si="39"/>
        <v>2820</v>
      </c>
      <c r="E125" s="254">
        <f t="shared" si="40"/>
        <v>4700</v>
      </c>
      <c r="F125" s="254">
        <f t="shared" si="41"/>
        <v>7520</v>
      </c>
      <c r="H125" s="257"/>
      <c r="I125" s="257"/>
      <c r="J125" s="257"/>
      <c r="K125" s="257"/>
      <c r="M125" s="257"/>
      <c r="N125" s="257"/>
      <c r="O125" s="257"/>
      <c r="P125" s="257"/>
    </row>
    <row r="126" spans="1:16" x14ac:dyDescent="0.15">
      <c r="A126" s="251"/>
      <c r="B126" s="253" t="s">
        <v>1</v>
      </c>
      <c r="C126" s="253">
        <v>6100</v>
      </c>
      <c r="D126" s="254">
        <f t="shared" si="39"/>
        <v>1830</v>
      </c>
      <c r="E126" s="254">
        <f t="shared" si="40"/>
        <v>3050</v>
      </c>
      <c r="F126" s="254">
        <f t="shared" si="41"/>
        <v>4880</v>
      </c>
      <c r="H126" s="257"/>
      <c r="I126" s="257"/>
      <c r="J126" s="257"/>
      <c r="K126" s="257"/>
      <c r="M126" s="257"/>
      <c r="N126" s="257"/>
      <c r="O126" s="257"/>
      <c r="P126" s="257"/>
    </row>
    <row r="128" spans="1:16" x14ac:dyDescent="0.15">
      <c r="H128" s="248" t="s">
        <v>97</v>
      </c>
      <c r="M128" s="248" t="s">
        <v>88</v>
      </c>
    </row>
    <row r="129" spans="1:16" x14ac:dyDescent="0.15">
      <c r="A129" s="249" t="s">
        <v>109</v>
      </c>
      <c r="B129" s="252"/>
      <c r="C129" s="254" t="s">
        <v>81</v>
      </c>
      <c r="D129" s="256" t="s">
        <v>93</v>
      </c>
      <c r="E129" s="254" t="s">
        <v>94</v>
      </c>
      <c r="F129" s="254" t="s">
        <v>95</v>
      </c>
      <c r="H129" s="254" t="s">
        <v>81</v>
      </c>
      <c r="I129" s="254" t="s">
        <v>93</v>
      </c>
      <c r="J129" s="254" t="s">
        <v>94</v>
      </c>
      <c r="K129" s="254" t="s">
        <v>95</v>
      </c>
      <c r="M129" s="254" t="s">
        <v>81</v>
      </c>
      <c r="N129" s="254" t="s">
        <v>93</v>
      </c>
      <c r="O129" s="254" t="s">
        <v>94</v>
      </c>
      <c r="P129" s="254" t="s">
        <v>95</v>
      </c>
    </row>
    <row r="130" spans="1:16" x14ac:dyDescent="0.15">
      <c r="A130" s="250" t="s">
        <v>69</v>
      </c>
      <c r="B130" s="253" t="s">
        <v>17</v>
      </c>
      <c r="C130" s="255">
        <v>25000</v>
      </c>
      <c r="D130" s="254">
        <f t="shared" ref="D130:D135" si="42">C130*0.3</f>
        <v>7500</v>
      </c>
      <c r="E130" s="254">
        <f t="shared" ref="E130:E135" si="43">C130*0.5</f>
        <v>12500</v>
      </c>
      <c r="F130" s="254">
        <f t="shared" ref="F130:F135" si="44">C130*0.8</f>
        <v>20000</v>
      </c>
      <c r="H130" s="257"/>
      <c r="I130" s="257"/>
      <c r="J130" s="257"/>
      <c r="K130" s="257"/>
      <c r="M130" s="257"/>
      <c r="N130" s="257"/>
      <c r="O130" s="257"/>
      <c r="P130" s="257"/>
    </row>
    <row r="131" spans="1:16" x14ac:dyDescent="0.15">
      <c r="A131" s="251"/>
      <c r="B131" s="253" t="s">
        <v>1</v>
      </c>
      <c r="C131" s="253">
        <v>23500</v>
      </c>
      <c r="D131" s="254">
        <f t="shared" si="42"/>
        <v>7050</v>
      </c>
      <c r="E131" s="254">
        <f t="shared" si="43"/>
        <v>11750</v>
      </c>
      <c r="F131" s="254">
        <f t="shared" si="44"/>
        <v>18800</v>
      </c>
      <c r="H131" s="254">
        <f>C131*0.5</f>
        <v>11750</v>
      </c>
      <c r="I131" s="254">
        <f>D131*0.5</f>
        <v>3525</v>
      </c>
      <c r="J131" s="254">
        <f>E131*0.5</f>
        <v>5875</v>
      </c>
      <c r="K131" s="254">
        <f>F131*0.5</f>
        <v>9400</v>
      </c>
      <c r="M131" s="254">
        <f>C131*0.75</f>
        <v>17625</v>
      </c>
      <c r="N131" s="254">
        <f>D131*0.75</f>
        <v>5287.5</v>
      </c>
      <c r="O131" s="254">
        <f>E131*0.75</f>
        <v>8812.5</v>
      </c>
      <c r="P131" s="254">
        <f>F131*0.75</f>
        <v>14100</v>
      </c>
    </row>
    <row r="132" spans="1:16" x14ac:dyDescent="0.15">
      <c r="A132" s="250" t="s">
        <v>79</v>
      </c>
      <c r="B132" s="253" t="s">
        <v>17</v>
      </c>
      <c r="C132" s="253">
        <v>7400</v>
      </c>
      <c r="D132" s="254">
        <f t="shared" si="42"/>
        <v>2220</v>
      </c>
      <c r="E132" s="254">
        <f t="shared" si="43"/>
        <v>3700</v>
      </c>
      <c r="F132" s="254">
        <f t="shared" si="44"/>
        <v>5920</v>
      </c>
      <c r="H132" s="257"/>
      <c r="I132" s="257"/>
      <c r="J132" s="257"/>
      <c r="K132" s="257"/>
      <c r="M132" s="257"/>
      <c r="N132" s="257"/>
      <c r="O132" s="257"/>
      <c r="P132" s="257"/>
    </row>
    <row r="133" spans="1:16" x14ac:dyDescent="0.15">
      <c r="A133" s="251"/>
      <c r="B133" s="253" t="s">
        <v>1</v>
      </c>
      <c r="C133" s="253">
        <v>5800</v>
      </c>
      <c r="D133" s="254">
        <f t="shared" si="42"/>
        <v>1740</v>
      </c>
      <c r="E133" s="254">
        <f t="shared" si="43"/>
        <v>2900</v>
      </c>
      <c r="F133" s="254">
        <f t="shared" si="44"/>
        <v>4640</v>
      </c>
      <c r="H133" s="254">
        <f>C133*0.5</f>
        <v>2900</v>
      </c>
      <c r="I133" s="254">
        <f>D133*0.5</f>
        <v>870</v>
      </c>
      <c r="J133" s="254">
        <f>E133*0.5</f>
        <v>1450</v>
      </c>
      <c r="K133" s="254">
        <f>F133*0.5</f>
        <v>2320</v>
      </c>
      <c r="M133" s="254">
        <f>C133*0.75</f>
        <v>4350</v>
      </c>
      <c r="N133" s="254">
        <f>D133*0.75</f>
        <v>1305</v>
      </c>
      <c r="O133" s="254">
        <f>E133*0.75</f>
        <v>2175</v>
      </c>
      <c r="P133" s="254">
        <f>F133*0.75</f>
        <v>3480</v>
      </c>
    </row>
    <row r="134" spans="1:16" x14ac:dyDescent="0.15">
      <c r="A134" s="250" t="s">
        <v>43</v>
      </c>
      <c r="B134" s="253" t="s">
        <v>17</v>
      </c>
      <c r="C134" s="253">
        <v>9400</v>
      </c>
      <c r="D134" s="254">
        <f t="shared" si="42"/>
        <v>2820</v>
      </c>
      <c r="E134" s="254">
        <f t="shared" si="43"/>
        <v>4700</v>
      </c>
      <c r="F134" s="254">
        <f t="shared" si="44"/>
        <v>7520</v>
      </c>
      <c r="H134" s="257"/>
      <c r="I134" s="257"/>
      <c r="J134" s="257"/>
      <c r="K134" s="257"/>
      <c r="M134" s="257"/>
      <c r="N134" s="257"/>
      <c r="O134" s="257"/>
      <c r="P134" s="257"/>
    </row>
    <row r="135" spans="1:16" x14ac:dyDescent="0.15">
      <c r="A135" s="251"/>
      <c r="B135" s="253" t="s">
        <v>1</v>
      </c>
      <c r="C135" s="253">
        <v>6100</v>
      </c>
      <c r="D135" s="254">
        <f t="shared" si="42"/>
        <v>1830</v>
      </c>
      <c r="E135" s="254">
        <f t="shared" si="43"/>
        <v>3050</v>
      </c>
      <c r="F135" s="254">
        <f t="shared" si="44"/>
        <v>4880</v>
      </c>
      <c r="H135" s="257"/>
      <c r="I135" s="257"/>
      <c r="J135" s="257"/>
      <c r="K135" s="257"/>
      <c r="M135" s="257"/>
      <c r="N135" s="257"/>
      <c r="O135" s="257"/>
      <c r="P135" s="257"/>
    </row>
    <row r="137" spans="1:16" x14ac:dyDescent="0.15">
      <c r="H137" s="248" t="s">
        <v>97</v>
      </c>
      <c r="M137" s="248" t="s">
        <v>88</v>
      </c>
    </row>
    <row r="138" spans="1:16" x14ac:dyDescent="0.15">
      <c r="A138" s="249" t="s">
        <v>110</v>
      </c>
      <c r="B138" s="252"/>
      <c r="C138" s="254" t="s">
        <v>81</v>
      </c>
      <c r="D138" s="256" t="s">
        <v>93</v>
      </c>
      <c r="E138" s="254" t="s">
        <v>94</v>
      </c>
      <c r="F138" s="254" t="s">
        <v>95</v>
      </c>
      <c r="H138" s="254" t="s">
        <v>81</v>
      </c>
      <c r="I138" s="254" t="s">
        <v>93</v>
      </c>
      <c r="J138" s="254" t="s">
        <v>94</v>
      </c>
      <c r="K138" s="254" t="s">
        <v>95</v>
      </c>
      <c r="M138" s="254" t="s">
        <v>81</v>
      </c>
      <c r="N138" s="254" t="s">
        <v>93</v>
      </c>
      <c r="O138" s="254" t="s">
        <v>94</v>
      </c>
      <c r="P138" s="254" t="s">
        <v>95</v>
      </c>
    </row>
    <row r="139" spans="1:16" x14ac:dyDescent="0.15">
      <c r="A139" s="250" t="s">
        <v>69</v>
      </c>
      <c r="B139" s="253" t="s">
        <v>17</v>
      </c>
      <c r="C139" s="255">
        <v>25000</v>
      </c>
      <c r="D139" s="254">
        <f t="shared" ref="D139:D144" si="45">C139*0.3</f>
        <v>7500</v>
      </c>
      <c r="E139" s="254">
        <f t="shared" ref="E139:E144" si="46">C139*0.5</f>
        <v>12500</v>
      </c>
      <c r="F139" s="254">
        <f t="shared" ref="F139:F144" si="47">C139*0.8</f>
        <v>20000</v>
      </c>
      <c r="H139" s="257"/>
      <c r="I139" s="257"/>
      <c r="J139" s="257"/>
      <c r="K139" s="257"/>
      <c r="M139" s="257"/>
      <c r="N139" s="257"/>
      <c r="O139" s="257"/>
      <c r="P139" s="257"/>
    </row>
    <row r="140" spans="1:16" x14ac:dyDescent="0.15">
      <c r="A140" s="251"/>
      <c r="B140" s="253" t="s">
        <v>1</v>
      </c>
      <c r="C140" s="253">
        <v>23500</v>
      </c>
      <c r="D140" s="254">
        <f t="shared" si="45"/>
        <v>7050</v>
      </c>
      <c r="E140" s="254">
        <f t="shared" si="46"/>
        <v>11750</v>
      </c>
      <c r="F140" s="254">
        <f t="shared" si="47"/>
        <v>18800</v>
      </c>
      <c r="H140" s="254">
        <f>C140*0.5</f>
        <v>11750</v>
      </c>
      <c r="I140" s="254">
        <f>D140*0.5</f>
        <v>3525</v>
      </c>
      <c r="J140" s="254">
        <f>E140*0.5</f>
        <v>5875</v>
      </c>
      <c r="K140" s="254">
        <f>F140*0.5</f>
        <v>9400</v>
      </c>
      <c r="M140" s="254">
        <f>C140*0.75</f>
        <v>17625</v>
      </c>
      <c r="N140" s="254">
        <f>D140*0.75</f>
        <v>5287.5</v>
      </c>
      <c r="O140" s="254">
        <f>E140*0.75</f>
        <v>8812.5</v>
      </c>
      <c r="P140" s="254">
        <f>F140*0.75</f>
        <v>14100</v>
      </c>
    </row>
    <row r="141" spans="1:16" x14ac:dyDescent="0.15">
      <c r="A141" s="250" t="s">
        <v>79</v>
      </c>
      <c r="B141" s="253" t="s">
        <v>17</v>
      </c>
      <c r="C141" s="253">
        <v>7400</v>
      </c>
      <c r="D141" s="254">
        <f t="shared" si="45"/>
        <v>2220</v>
      </c>
      <c r="E141" s="254">
        <f t="shared" si="46"/>
        <v>3700</v>
      </c>
      <c r="F141" s="254">
        <f t="shared" si="47"/>
        <v>5920</v>
      </c>
      <c r="H141" s="257"/>
      <c r="I141" s="257"/>
      <c r="J141" s="257"/>
      <c r="K141" s="257"/>
      <c r="M141" s="257"/>
      <c r="N141" s="257"/>
      <c r="O141" s="257"/>
      <c r="P141" s="257"/>
    </row>
    <row r="142" spans="1:16" x14ac:dyDescent="0.15">
      <c r="A142" s="251"/>
      <c r="B142" s="253" t="s">
        <v>1</v>
      </c>
      <c r="C142" s="253">
        <v>5800</v>
      </c>
      <c r="D142" s="254">
        <f t="shared" si="45"/>
        <v>1740</v>
      </c>
      <c r="E142" s="254">
        <f t="shared" si="46"/>
        <v>2900</v>
      </c>
      <c r="F142" s="254">
        <f t="shared" si="47"/>
        <v>4640</v>
      </c>
      <c r="H142" s="254">
        <f>C142*0.5</f>
        <v>2900</v>
      </c>
      <c r="I142" s="254">
        <f>D142*0.5</f>
        <v>870</v>
      </c>
      <c r="J142" s="254">
        <f>E142*0.5</f>
        <v>1450</v>
      </c>
      <c r="K142" s="254">
        <f>F142*0.5</f>
        <v>2320</v>
      </c>
      <c r="M142" s="254">
        <f>C142*0.75</f>
        <v>4350</v>
      </c>
      <c r="N142" s="254">
        <f>D142*0.75</f>
        <v>1305</v>
      </c>
      <c r="O142" s="254">
        <f>E142*0.75</f>
        <v>2175</v>
      </c>
      <c r="P142" s="254">
        <f>F142*0.75</f>
        <v>3480</v>
      </c>
    </row>
    <row r="143" spans="1:16" x14ac:dyDescent="0.15">
      <c r="A143" s="250" t="s">
        <v>43</v>
      </c>
      <c r="B143" s="253" t="s">
        <v>17</v>
      </c>
      <c r="C143" s="253">
        <v>9400</v>
      </c>
      <c r="D143" s="254">
        <f t="shared" si="45"/>
        <v>2820</v>
      </c>
      <c r="E143" s="254">
        <f t="shared" si="46"/>
        <v>4700</v>
      </c>
      <c r="F143" s="254">
        <f t="shared" si="47"/>
        <v>7520</v>
      </c>
      <c r="H143" s="257"/>
      <c r="I143" s="257"/>
      <c r="J143" s="257"/>
      <c r="K143" s="257"/>
      <c r="M143" s="257"/>
      <c r="N143" s="257"/>
      <c r="O143" s="257"/>
      <c r="P143" s="257"/>
    </row>
    <row r="144" spans="1:16" x14ac:dyDescent="0.15">
      <c r="A144" s="251"/>
      <c r="B144" s="253" t="s">
        <v>1</v>
      </c>
      <c r="C144" s="253">
        <v>6100</v>
      </c>
      <c r="D144" s="254">
        <f t="shared" si="45"/>
        <v>1830</v>
      </c>
      <c r="E144" s="254">
        <f t="shared" si="46"/>
        <v>3050</v>
      </c>
      <c r="F144" s="254">
        <f t="shared" si="47"/>
        <v>4880</v>
      </c>
      <c r="H144" s="257"/>
      <c r="I144" s="257"/>
      <c r="J144" s="257"/>
      <c r="K144" s="257"/>
      <c r="M144" s="257"/>
      <c r="N144" s="257"/>
      <c r="O144" s="257"/>
      <c r="P144" s="257"/>
    </row>
    <row r="146" spans="1:16" x14ac:dyDescent="0.15">
      <c r="H146" s="248" t="s">
        <v>97</v>
      </c>
      <c r="M146" s="248" t="s">
        <v>88</v>
      </c>
    </row>
    <row r="147" spans="1:16" x14ac:dyDescent="0.15">
      <c r="A147" s="249" t="s">
        <v>111</v>
      </c>
      <c r="B147" s="252"/>
      <c r="C147" s="254" t="s">
        <v>81</v>
      </c>
      <c r="D147" s="256" t="s">
        <v>93</v>
      </c>
      <c r="E147" s="254" t="s">
        <v>94</v>
      </c>
      <c r="F147" s="254" t="s">
        <v>95</v>
      </c>
      <c r="H147" s="254" t="s">
        <v>81</v>
      </c>
      <c r="I147" s="254" t="s">
        <v>93</v>
      </c>
      <c r="J147" s="254" t="s">
        <v>94</v>
      </c>
      <c r="K147" s="254" t="s">
        <v>95</v>
      </c>
      <c r="M147" s="254" t="s">
        <v>81</v>
      </c>
      <c r="N147" s="254" t="s">
        <v>93</v>
      </c>
      <c r="O147" s="254" t="s">
        <v>94</v>
      </c>
      <c r="P147" s="254" t="s">
        <v>95</v>
      </c>
    </row>
    <row r="148" spans="1:16" x14ac:dyDescent="0.15">
      <c r="A148" s="250" t="s">
        <v>69</v>
      </c>
      <c r="B148" s="253" t="s">
        <v>17</v>
      </c>
      <c r="C148" s="255">
        <v>25000</v>
      </c>
      <c r="D148" s="254">
        <f t="shared" ref="D148:D153" si="48">C148*0.3</f>
        <v>7500</v>
      </c>
      <c r="E148" s="254">
        <f t="shared" ref="E148:E153" si="49">C148*0.5</f>
        <v>12500</v>
      </c>
      <c r="F148" s="254">
        <f t="shared" ref="F148:F153" si="50">C148*0.8</f>
        <v>20000</v>
      </c>
      <c r="H148" s="257"/>
      <c r="I148" s="257"/>
      <c r="J148" s="257"/>
      <c r="K148" s="257"/>
      <c r="M148" s="257"/>
      <c r="N148" s="257"/>
      <c r="O148" s="257"/>
      <c r="P148" s="257"/>
    </row>
    <row r="149" spans="1:16" x14ac:dyDescent="0.15">
      <c r="A149" s="251"/>
      <c r="B149" s="253" t="s">
        <v>1</v>
      </c>
      <c r="C149" s="253">
        <v>23500</v>
      </c>
      <c r="D149" s="254">
        <f t="shared" si="48"/>
        <v>7050</v>
      </c>
      <c r="E149" s="254">
        <f t="shared" si="49"/>
        <v>11750</v>
      </c>
      <c r="F149" s="254">
        <f t="shared" si="50"/>
        <v>18800</v>
      </c>
      <c r="H149" s="254">
        <f>C149*0.5</f>
        <v>11750</v>
      </c>
      <c r="I149" s="254">
        <f>D149*0.5</f>
        <v>3525</v>
      </c>
      <c r="J149" s="254">
        <f>E149*0.5</f>
        <v>5875</v>
      </c>
      <c r="K149" s="254">
        <f>F149*0.5</f>
        <v>9400</v>
      </c>
      <c r="M149" s="254">
        <f>C149*0.75</f>
        <v>17625</v>
      </c>
      <c r="N149" s="254">
        <f>D149*0.75</f>
        <v>5287.5</v>
      </c>
      <c r="O149" s="254">
        <f>E149*0.75</f>
        <v>8812.5</v>
      </c>
      <c r="P149" s="254">
        <f>F149*0.75</f>
        <v>14100</v>
      </c>
    </row>
    <row r="150" spans="1:16" x14ac:dyDescent="0.15">
      <c r="A150" s="250" t="s">
        <v>79</v>
      </c>
      <c r="B150" s="253" t="s">
        <v>17</v>
      </c>
      <c r="C150" s="253">
        <v>7400</v>
      </c>
      <c r="D150" s="254">
        <f t="shared" si="48"/>
        <v>2220</v>
      </c>
      <c r="E150" s="254">
        <f t="shared" si="49"/>
        <v>3700</v>
      </c>
      <c r="F150" s="254">
        <f t="shared" si="50"/>
        <v>5920</v>
      </c>
      <c r="H150" s="257"/>
      <c r="I150" s="257"/>
      <c r="J150" s="257"/>
      <c r="K150" s="257"/>
      <c r="M150" s="257"/>
      <c r="N150" s="257"/>
      <c r="O150" s="257"/>
      <c r="P150" s="257"/>
    </row>
    <row r="151" spans="1:16" x14ac:dyDescent="0.15">
      <c r="A151" s="251"/>
      <c r="B151" s="253" t="s">
        <v>1</v>
      </c>
      <c r="C151" s="253">
        <v>5800</v>
      </c>
      <c r="D151" s="254">
        <f t="shared" si="48"/>
        <v>1740</v>
      </c>
      <c r="E151" s="254">
        <f t="shared" si="49"/>
        <v>2900</v>
      </c>
      <c r="F151" s="254">
        <f t="shared" si="50"/>
        <v>4640</v>
      </c>
      <c r="H151" s="254">
        <f>C151*0.5</f>
        <v>2900</v>
      </c>
      <c r="I151" s="254">
        <f>D151*0.5</f>
        <v>870</v>
      </c>
      <c r="J151" s="254">
        <f>E151*0.5</f>
        <v>1450</v>
      </c>
      <c r="K151" s="254">
        <f>F151*0.5</f>
        <v>2320</v>
      </c>
      <c r="M151" s="254">
        <f>C151*0.75</f>
        <v>4350</v>
      </c>
      <c r="N151" s="254">
        <f>D151*0.75</f>
        <v>1305</v>
      </c>
      <c r="O151" s="254">
        <f>E151*0.75</f>
        <v>2175</v>
      </c>
      <c r="P151" s="254">
        <f>F151*0.75</f>
        <v>3480</v>
      </c>
    </row>
    <row r="152" spans="1:16" x14ac:dyDescent="0.15">
      <c r="A152" s="250" t="s">
        <v>43</v>
      </c>
      <c r="B152" s="253" t="s">
        <v>17</v>
      </c>
      <c r="C152" s="253">
        <v>9400</v>
      </c>
      <c r="D152" s="254">
        <f t="shared" si="48"/>
        <v>2820</v>
      </c>
      <c r="E152" s="254">
        <f t="shared" si="49"/>
        <v>4700</v>
      </c>
      <c r="F152" s="254">
        <f t="shared" si="50"/>
        <v>7520</v>
      </c>
      <c r="H152" s="257"/>
      <c r="I152" s="257"/>
      <c r="J152" s="257"/>
      <c r="K152" s="257"/>
      <c r="M152" s="257"/>
      <c r="N152" s="257"/>
      <c r="O152" s="257"/>
      <c r="P152" s="257"/>
    </row>
    <row r="153" spans="1:16" x14ac:dyDescent="0.15">
      <c r="A153" s="251"/>
      <c r="B153" s="253" t="s">
        <v>1</v>
      </c>
      <c r="C153" s="253">
        <v>6100</v>
      </c>
      <c r="D153" s="254">
        <f t="shared" si="48"/>
        <v>1830</v>
      </c>
      <c r="E153" s="254">
        <f t="shared" si="49"/>
        <v>3050</v>
      </c>
      <c r="F153" s="254">
        <f t="shared" si="50"/>
        <v>4880</v>
      </c>
      <c r="H153" s="257"/>
      <c r="I153" s="257"/>
      <c r="J153" s="257"/>
      <c r="K153" s="257"/>
      <c r="M153" s="257"/>
      <c r="N153" s="257"/>
      <c r="O153" s="257"/>
      <c r="P153" s="257"/>
    </row>
    <row r="155" spans="1:16" x14ac:dyDescent="0.15">
      <c r="H155" s="248" t="s">
        <v>97</v>
      </c>
      <c r="M155" s="248" t="s">
        <v>88</v>
      </c>
    </row>
    <row r="156" spans="1:16" x14ac:dyDescent="0.15">
      <c r="A156" s="249" t="s">
        <v>74</v>
      </c>
      <c r="B156" s="252"/>
      <c r="C156" s="254" t="s">
        <v>81</v>
      </c>
      <c r="D156" s="256" t="s">
        <v>93</v>
      </c>
      <c r="E156" s="254" t="s">
        <v>94</v>
      </c>
      <c r="F156" s="254" t="s">
        <v>95</v>
      </c>
      <c r="H156" s="254" t="s">
        <v>81</v>
      </c>
      <c r="I156" s="254" t="s">
        <v>93</v>
      </c>
      <c r="J156" s="254" t="s">
        <v>94</v>
      </c>
      <c r="K156" s="254" t="s">
        <v>95</v>
      </c>
      <c r="M156" s="254" t="s">
        <v>81</v>
      </c>
      <c r="N156" s="254" t="s">
        <v>93</v>
      </c>
      <c r="O156" s="254" t="s">
        <v>94</v>
      </c>
      <c r="P156" s="254" t="s">
        <v>95</v>
      </c>
    </row>
    <row r="157" spans="1:16" x14ac:dyDescent="0.15">
      <c r="A157" s="250" t="s">
        <v>69</v>
      </c>
      <c r="B157" s="253" t="s">
        <v>17</v>
      </c>
      <c r="C157" s="255">
        <v>25000</v>
      </c>
      <c r="D157" s="254">
        <f t="shared" ref="D157:D162" si="51">C157*0.3</f>
        <v>7500</v>
      </c>
      <c r="E157" s="254">
        <f t="shared" ref="E157:E162" si="52">C157*0.5</f>
        <v>12500</v>
      </c>
      <c r="F157" s="254">
        <f t="shared" ref="F157:F162" si="53">C157*0.8</f>
        <v>20000</v>
      </c>
      <c r="H157" s="257"/>
      <c r="I157" s="257"/>
      <c r="J157" s="257"/>
      <c r="K157" s="257"/>
      <c r="M157" s="257"/>
      <c r="N157" s="257"/>
      <c r="O157" s="257"/>
      <c r="P157" s="257"/>
    </row>
    <row r="158" spans="1:16" x14ac:dyDescent="0.15">
      <c r="A158" s="251"/>
      <c r="B158" s="253" t="s">
        <v>1</v>
      </c>
      <c r="C158" s="253">
        <v>23500</v>
      </c>
      <c r="D158" s="254">
        <f t="shared" si="51"/>
        <v>7050</v>
      </c>
      <c r="E158" s="254">
        <f t="shared" si="52"/>
        <v>11750</v>
      </c>
      <c r="F158" s="254">
        <f t="shared" si="53"/>
        <v>18800</v>
      </c>
      <c r="H158" s="254">
        <f>C158*0.5</f>
        <v>11750</v>
      </c>
      <c r="I158" s="254">
        <f>D158*0.5</f>
        <v>3525</v>
      </c>
      <c r="J158" s="254">
        <f>E158*0.5</f>
        <v>5875</v>
      </c>
      <c r="K158" s="254">
        <f>F158*0.5</f>
        <v>9400</v>
      </c>
      <c r="M158" s="254">
        <f>C158*0.75</f>
        <v>17625</v>
      </c>
      <c r="N158" s="254">
        <f>D158*0.75</f>
        <v>5287.5</v>
      </c>
      <c r="O158" s="254">
        <f>E158*0.75</f>
        <v>8812.5</v>
      </c>
      <c r="P158" s="254">
        <f>F158*0.75</f>
        <v>14100</v>
      </c>
    </row>
    <row r="159" spans="1:16" x14ac:dyDescent="0.15">
      <c r="A159" s="250" t="s">
        <v>79</v>
      </c>
      <c r="B159" s="253" t="s">
        <v>17</v>
      </c>
      <c r="C159" s="253">
        <v>7400</v>
      </c>
      <c r="D159" s="254">
        <f t="shared" si="51"/>
        <v>2220</v>
      </c>
      <c r="E159" s="254">
        <f t="shared" si="52"/>
        <v>3700</v>
      </c>
      <c r="F159" s="254">
        <f t="shared" si="53"/>
        <v>5920</v>
      </c>
      <c r="H159" s="257"/>
      <c r="I159" s="257"/>
      <c r="J159" s="257"/>
      <c r="K159" s="257"/>
      <c r="M159" s="257"/>
      <c r="N159" s="257"/>
      <c r="O159" s="257"/>
      <c r="P159" s="257"/>
    </row>
    <row r="160" spans="1:16" x14ac:dyDescent="0.15">
      <c r="A160" s="251"/>
      <c r="B160" s="253" t="s">
        <v>1</v>
      </c>
      <c r="C160" s="253">
        <v>5800</v>
      </c>
      <c r="D160" s="254">
        <f t="shared" si="51"/>
        <v>1740</v>
      </c>
      <c r="E160" s="254">
        <f t="shared" si="52"/>
        <v>2900</v>
      </c>
      <c r="F160" s="254">
        <f t="shared" si="53"/>
        <v>4640</v>
      </c>
      <c r="H160" s="254">
        <f>C160*0.5</f>
        <v>2900</v>
      </c>
      <c r="I160" s="254">
        <f>D160*0.5</f>
        <v>870</v>
      </c>
      <c r="J160" s="254">
        <f>E160*0.5</f>
        <v>1450</v>
      </c>
      <c r="K160" s="254">
        <f>F160*0.5</f>
        <v>2320</v>
      </c>
      <c r="M160" s="254">
        <f>C160*0.75</f>
        <v>4350</v>
      </c>
      <c r="N160" s="254">
        <f>D160*0.75</f>
        <v>1305</v>
      </c>
      <c r="O160" s="254">
        <f>E160*0.75</f>
        <v>2175</v>
      </c>
      <c r="P160" s="254">
        <f>F160*0.75</f>
        <v>3480</v>
      </c>
    </row>
    <row r="161" spans="1:16" x14ac:dyDescent="0.15">
      <c r="A161" s="250" t="s">
        <v>43</v>
      </c>
      <c r="B161" s="253" t="s">
        <v>17</v>
      </c>
      <c r="C161" s="253">
        <v>9400</v>
      </c>
      <c r="D161" s="254">
        <f t="shared" si="51"/>
        <v>2820</v>
      </c>
      <c r="E161" s="254">
        <f t="shared" si="52"/>
        <v>4700</v>
      </c>
      <c r="F161" s="254">
        <f t="shared" si="53"/>
        <v>7520</v>
      </c>
      <c r="H161" s="257"/>
      <c r="I161" s="257"/>
      <c r="J161" s="257"/>
      <c r="K161" s="257"/>
      <c r="M161" s="257"/>
      <c r="N161" s="257"/>
      <c r="O161" s="257"/>
      <c r="P161" s="257"/>
    </row>
    <row r="162" spans="1:16" x14ac:dyDescent="0.15">
      <c r="A162" s="251"/>
      <c r="B162" s="253" t="s">
        <v>1</v>
      </c>
      <c r="C162" s="253">
        <v>6100</v>
      </c>
      <c r="D162" s="254">
        <f t="shared" si="51"/>
        <v>1830</v>
      </c>
      <c r="E162" s="254">
        <f t="shared" si="52"/>
        <v>3050</v>
      </c>
      <c r="F162" s="254">
        <f t="shared" si="53"/>
        <v>4880</v>
      </c>
      <c r="H162" s="257"/>
      <c r="I162" s="257"/>
      <c r="J162" s="257"/>
      <c r="K162" s="257"/>
      <c r="M162" s="257"/>
      <c r="N162" s="257"/>
      <c r="O162" s="257"/>
      <c r="P162" s="257"/>
    </row>
    <row r="164" spans="1:16" x14ac:dyDescent="0.15">
      <c r="H164" s="248" t="s">
        <v>97</v>
      </c>
      <c r="M164" s="248" t="s">
        <v>88</v>
      </c>
    </row>
    <row r="165" spans="1:16" x14ac:dyDescent="0.15">
      <c r="A165" s="249" t="s">
        <v>194</v>
      </c>
      <c r="B165" s="252"/>
      <c r="C165" s="254" t="s">
        <v>81</v>
      </c>
      <c r="D165" s="256" t="s">
        <v>93</v>
      </c>
      <c r="E165" s="254" t="s">
        <v>94</v>
      </c>
      <c r="F165" s="254" t="s">
        <v>95</v>
      </c>
      <c r="H165" s="254" t="s">
        <v>81</v>
      </c>
      <c r="I165" s="254" t="s">
        <v>93</v>
      </c>
      <c r="J165" s="254" t="s">
        <v>94</v>
      </c>
      <c r="K165" s="254" t="s">
        <v>95</v>
      </c>
      <c r="M165" s="254" t="s">
        <v>81</v>
      </c>
      <c r="N165" s="254" t="s">
        <v>93</v>
      </c>
      <c r="O165" s="254" t="s">
        <v>94</v>
      </c>
      <c r="P165" s="254" t="s">
        <v>95</v>
      </c>
    </row>
    <row r="166" spans="1:16" x14ac:dyDescent="0.15">
      <c r="A166" s="250" t="s">
        <v>69</v>
      </c>
      <c r="B166" s="253" t="s">
        <v>17</v>
      </c>
      <c r="C166" s="255">
        <v>25000</v>
      </c>
      <c r="D166" s="254">
        <f t="shared" ref="D166:D171" si="54">C166*0.3</f>
        <v>7500</v>
      </c>
      <c r="E166" s="254">
        <f t="shared" ref="E166:E171" si="55">C166*0.5</f>
        <v>12500</v>
      </c>
      <c r="F166" s="254">
        <f t="shared" ref="F166:F171" si="56">C166*0.8</f>
        <v>20000</v>
      </c>
      <c r="H166" s="257"/>
      <c r="I166" s="257"/>
      <c r="J166" s="257"/>
      <c r="K166" s="257"/>
      <c r="M166" s="257"/>
      <c r="N166" s="257"/>
      <c r="O166" s="257"/>
      <c r="P166" s="257"/>
    </row>
    <row r="167" spans="1:16" x14ac:dyDescent="0.15">
      <c r="A167" s="251"/>
      <c r="B167" s="253" t="s">
        <v>1</v>
      </c>
      <c r="C167" s="253">
        <v>23500</v>
      </c>
      <c r="D167" s="254">
        <f t="shared" si="54"/>
        <v>7050</v>
      </c>
      <c r="E167" s="254">
        <f t="shared" si="55"/>
        <v>11750</v>
      </c>
      <c r="F167" s="254">
        <f t="shared" si="56"/>
        <v>18800</v>
      </c>
      <c r="H167" s="254">
        <f>C167*0.5</f>
        <v>11750</v>
      </c>
      <c r="I167" s="254">
        <f>D167*0.5</f>
        <v>3525</v>
      </c>
      <c r="J167" s="254">
        <f>E167*0.5</f>
        <v>5875</v>
      </c>
      <c r="K167" s="254">
        <f>F167*0.5</f>
        <v>9400</v>
      </c>
      <c r="M167" s="254">
        <f>C167*0.75</f>
        <v>17625</v>
      </c>
      <c r="N167" s="254">
        <f>D167*0.75</f>
        <v>5287.5</v>
      </c>
      <c r="O167" s="254">
        <f>E167*0.75</f>
        <v>8812.5</v>
      </c>
      <c r="P167" s="254">
        <f>F167*0.75</f>
        <v>14100</v>
      </c>
    </row>
    <row r="168" spans="1:16" x14ac:dyDescent="0.15">
      <c r="A168" s="250" t="s">
        <v>79</v>
      </c>
      <c r="B168" s="253" t="s">
        <v>17</v>
      </c>
      <c r="C168" s="253">
        <v>7400</v>
      </c>
      <c r="D168" s="254">
        <f t="shared" si="54"/>
        <v>2220</v>
      </c>
      <c r="E168" s="254">
        <f t="shared" si="55"/>
        <v>3700</v>
      </c>
      <c r="F168" s="254">
        <f t="shared" si="56"/>
        <v>5920</v>
      </c>
      <c r="H168" s="257"/>
      <c r="I168" s="257"/>
      <c r="J168" s="257"/>
      <c r="K168" s="257"/>
      <c r="M168" s="257"/>
      <c r="N168" s="257"/>
      <c r="O168" s="257"/>
      <c r="P168" s="257"/>
    </row>
    <row r="169" spans="1:16" x14ac:dyDescent="0.15">
      <c r="A169" s="251"/>
      <c r="B169" s="253" t="s">
        <v>1</v>
      </c>
      <c r="C169" s="253">
        <v>5800</v>
      </c>
      <c r="D169" s="254">
        <f t="shared" si="54"/>
        <v>1740</v>
      </c>
      <c r="E169" s="254">
        <f t="shared" si="55"/>
        <v>2900</v>
      </c>
      <c r="F169" s="254">
        <f t="shared" si="56"/>
        <v>4640</v>
      </c>
      <c r="H169" s="254">
        <f>C169*0.5</f>
        <v>2900</v>
      </c>
      <c r="I169" s="254">
        <f>D169*0.5</f>
        <v>870</v>
      </c>
      <c r="J169" s="254">
        <f>E169*0.5</f>
        <v>1450</v>
      </c>
      <c r="K169" s="254">
        <f>F169*0.5</f>
        <v>2320</v>
      </c>
      <c r="M169" s="254">
        <f>C169*0.75</f>
        <v>4350</v>
      </c>
      <c r="N169" s="254">
        <f>D169*0.75</f>
        <v>1305</v>
      </c>
      <c r="O169" s="254">
        <f>E169*0.75</f>
        <v>2175</v>
      </c>
      <c r="P169" s="254">
        <f>F169*0.75</f>
        <v>3480</v>
      </c>
    </row>
    <row r="170" spans="1:16" x14ac:dyDescent="0.15">
      <c r="A170" s="250" t="s">
        <v>43</v>
      </c>
      <c r="B170" s="253" t="s">
        <v>17</v>
      </c>
      <c r="C170" s="253">
        <v>9400</v>
      </c>
      <c r="D170" s="254">
        <f t="shared" si="54"/>
        <v>2820</v>
      </c>
      <c r="E170" s="254">
        <f t="shared" si="55"/>
        <v>4700</v>
      </c>
      <c r="F170" s="254">
        <f t="shared" si="56"/>
        <v>7520</v>
      </c>
      <c r="H170" s="257"/>
      <c r="I170" s="257"/>
      <c r="J170" s="257"/>
      <c r="K170" s="257"/>
      <c r="M170" s="257"/>
      <c r="N170" s="257"/>
      <c r="O170" s="257"/>
      <c r="P170" s="257"/>
    </row>
    <row r="171" spans="1:16" x14ac:dyDescent="0.15">
      <c r="A171" s="251"/>
      <c r="B171" s="253" t="s">
        <v>1</v>
      </c>
      <c r="C171" s="253">
        <v>6100</v>
      </c>
      <c r="D171" s="254">
        <f t="shared" si="54"/>
        <v>1830</v>
      </c>
      <c r="E171" s="254">
        <f t="shared" si="55"/>
        <v>3050</v>
      </c>
      <c r="F171" s="254">
        <f t="shared" si="56"/>
        <v>4880</v>
      </c>
      <c r="H171" s="257"/>
      <c r="I171" s="257"/>
      <c r="J171" s="257"/>
      <c r="K171" s="257"/>
      <c r="M171" s="257"/>
      <c r="N171" s="257"/>
      <c r="O171" s="257"/>
      <c r="P171" s="257"/>
    </row>
    <row r="173" spans="1:16" x14ac:dyDescent="0.15">
      <c r="H173" s="248" t="s">
        <v>97</v>
      </c>
      <c r="M173" s="248" t="s">
        <v>88</v>
      </c>
    </row>
    <row r="174" spans="1:16" x14ac:dyDescent="0.15">
      <c r="A174" s="249" t="s">
        <v>199</v>
      </c>
      <c r="B174" s="252"/>
      <c r="C174" s="254" t="s">
        <v>81</v>
      </c>
      <c r="D174" s="256" t="s">
        <v>93</v>
      </c>
      <c r="E174" s="254" t="s">
        <v>94</v>
      </c>
      <c r="F174" s="254" t="s">
        <v>95</v>
      </c>
      <c r="H174" s="254" t="s">
        <v>81</v>
      </c>
      <c r="I174" s="254" t="s">
        <v>93</v>
      </c>
      <c r="J174" s="254" t="s">
        <v>94</v>
      </c>
      <c r="K174" s="254" t="s">
        <v>95</v>
      </c>
      <c r="M174" s="254" t="s">
        <v>81</v>
      </c>
      <c r="N174" s="254" t="s">
        <v>93</v>
      </c>
      <c r="O174" s="254" t="s">
        <v>94</v>
      </c>
      <c r="P174" s="254" t="s">
        <v>95</v>
      </c>
    </row>
    <row r="175" spans="1:16" x14ac:dyDescent="0.15">
      <c r="A175" s="250" t="s">
        <v>69</v>
      </c>
      <c r="B175" s="253" t="s">
        <v>17</v>
      </c>
      <c r="C175" s="255">
        <v>24200</v>
      </c>
      <c r="D175" s="254">
        <f t="shared" ref="D175:D180" si="57">C175*0.3</f>
        <v>7260</v>
      </c>
      <c r="E175" s="254">
        <f t="shared" ref="E175:E180" si="58">C175*0.5</f>
        <v>12100</v>
      </c>
      <c r="F175" s="254">
        <f t="shared" ref="F175:F180" si="59">C175*0.8</f>
        <v>19360</v>
      </c>
      <c r="H175" s="257"/>
      <c r="I175" s="257"/>
      <c r="J175" s="257"/>
      <c r="K175" s="257"/>
      <c r="M175" s="257"/>
      <c r="N175" s="257"/>
      <c r="O175" s="257"/>
      <c r="P175" s="257"/>
    </row>
    <row r="176" spans="1:16" x14ac:dyDescent="0.15">
      <c r="A176" s="251"/>
      <c r="B176" s="253" t="s">
        <v>1</v>
      </c>
      <c r="C176" s="253">
        <v>21400</v>
      </c>
      <c r="D176" s="254">
        <f t="shared" si="57"/>
        <v>6420</v>
      </c>
      <c r="E176" s="254">
        <f t="shared" si="58"/>
        <v>10700</v>
      </c>
      <c r="F176" s="254">
        <f t="shared" si="59"/>
        <v>17120</v>
      </c>
      <c r="H176" s="254">
        <f>C176*0.5</f>
        <v>10700</v>
      </c>
      <c r="I176" s="254">
        <f>D176*0.5</f>
        <v>3210</v>
      </c>
      <c r="J176" s="254">
        <f>E176*0.5</f>
        <v>5350</v>
      </c>
      <c r="K176" s="254">
        <f>F176*0.5</f>
        <v>8560</v>
      </c>
      <c r="M176" s="254">
        <f>C176*0.75</f>
        <v>16050</v>
      </c>
      <c r="N176" s="254">
        <f>D176*0.75</f>
        <v>4815</v>
      </c>
      <c r="O176" s="254">
        <f>E176*0.75</f>
        <v>8025</v>
      </c>
      <c r="P176" s="254">
        <f>F176*0.75</f>
        <v>12840</v>
      </c>
    </row>
    <row r="177" spans="1:16" x14ac:dyDescent="0.15">
      <c r="A177" s="250" t="s">
        <v>79</v>
      </c>
      <c r="B177" s="253" t="s">
        <v>17</v>
      </c>
      <c r="C177" s="253">
        <v>7400</v>
      </c>
      <c r="D177" s="254">
        <f t="shared" si="57"/>
        <v>2220</v>
      </c>
      <c r="E177" s="254">
        <f t="shared" si="58"/>
        <v>3700</v>
      </c>
      <c r="F177" s="254">
        <f t="shared" si="59"/>
        <v>5920</v>
      </c>
      <c r="H177" s="257"/>
      <c r="I177" s="257"/>
      <c r="J177" s="257"/>
      <c r="K177" s="257"/>
      <c r="M177" s="257"/>
      <c r="N177" s="257"/>
      <c r="O177" s="257"/>
      <c r="P177" s="257"/>
    </row>
    <row r="178" spans="1:16" x14ac:dyDescent="0.15">
      <c r="A178" s="251"/>
      <c r="B178" s="253" t="s">
        <v>1</v>
      </c>
      <c r="C178" s="253">
        <v>5800</v>
      </c>
      <c r="D178" s="254">
        <f t="shared" si="57"/>
        <v>1740</v>
      </c>
      <c r="E178" s="254">
        <f t="shared" si="58"/>
        <v>2900</v>
      </c>
      <c r="F178" s="254">
        <f t="shared" si="59"/>
        <v>4640</v>
      </c>
      <c r="H178" s="254">
        <f>C178*0.5</f>
        <v>2900</v>
      </c>
      <c r="I178" s="254">
        <f>D178*0.5</f>
        <v>870</v>
      </c>
      <c r="J178" s="254">
        <f>E178*0.5</f>
        <v>1450</v>
      </c>
      <c r="K178" s="254">
        <f>F178*0.5</f>
        <v>2320</v>
      </c>
      <c r="M178" s="254">
        <f>C178*0.75</f>
        <v>4350</v>
      </c>
      <c r="N178" s="254">
        <f>D178*0.75</f>
        <v>1305</v>
      </c>
      <c r="O178" s="254">
        <f>E178*0.75</f>
        <v>2175</v>
      </c>
      <c r="P178" s="254">
        <f>F178*0.75</f>
        <v>3480</v>
      </c>
    </row>
    <row r="179" spans="1:16" x14ac:dyDescent="0.15">
      <c r="A179" s="250" t="s">
        <v>43</v>
      </c>
      <c r="B179" s="253" t="s">
        <v>17</v>
      </c>
      <c r="C179" s="253">
        <v>9400</v>
      </c>
      <c r="D179" s="254">
        <f t="shared" si="57"/>
        <v>2820</v>
      </c>
      <c r="E179" s="254">
        <f t="shared" si="58"/>
        <v>4700</v>
      </c>
      <c r="F179" s="254">
        <f t="shared" si="59"/>
        <v>7520</v>
      </c>
      <c r="H179" s="257"/>
      <c r="I179" s="257"/>
      <c r="J179" s="257"/>
      <c r="K179" s="257"/>
      <c r="M179" s="257"/>
      <c r="N179" s="257"/>
      <c r="O179" s="257"/>
      <c r="P179" s="257"/>
    </row>
    <row r="180" spans="1:16" x14ac:dyDescent="0.15">
      <c r="A180" s="251"/>
      <c r="B180" s="253" t="s">
        <v>1</v>
      </c>
      <c r="C180" s="253">
        <v>6100</v>
      </c>
      <c r="D180" s="254">
        <f t="shared" si="57"/>
        <v>1830</v>
      </c>
      <c r="E180" s="254">
        <f t="shared" si="58"/>
        <v>3050</v>
      </c>
      <c r="F180" s="254">
        <f t="shared" si="59"/>
        <v>4880</v>
      </c>
      <c r="H180" s="257"/>
      <c r="I180" s="257"/>
      <c r="J180" s="257"/>
      <c r="K180" s="257"/>
      <c r="M180" s="257"/>
      <c r="N180" s="257"/>
      <c r="O180" s="257"/>
      <c r="P180" s="257"/>
    </row>
    <row r="182" spans="1:16" x14ac:dyDescent="0.15">
      <c r="H182" s="248" t="s">
        <v>97</v>
      </c>
      <c r="M182" s="248" t="s">
        <v>88</v>
      </c>
    </row>
    <row r="183" spans="1:16" x14ac:dyDescent="0.15">
      <c r="A183" s="249" t="s">
        <v>184</v>
      </c>
      <c r="B183" s="252"/>
      <c r="C183" s="254" t="s">
        <v>81</v>
      </c>
      <c r="D183" s="256" t="s">
        <v>93</v>
      </c>
      <c r="E183" s="254" t="s">
        <v>94</v>
      </c>
      <c r="F183" s="254" t="s">
        <v>95</v>
      </c>
      <c r="H183" s="254" t="s">
        <v>81</v>
      </c>
      <c r="I183" s="254" t="s">
        <v>93</v>
      </c>
      <c r="J183" s="254" t="s">
        <v>94</v>
      </c>
      <c r="K183" s="254" t="s">
        <v>95</v>
      </c>
      <c r="M183" s="254" t="s">
        <v>81</v>
      </c>
      <c r="N183" s="254" t="s">
        <v>93</v>
      </c>
      <c r="O183" s="254" t="s">
        <v>94</v>
      </c>
      <c r="P183" s="254" t="s">
        <v>95</v>
      </c>
    </row>
    <row r="184" spans="1:16" x14ac:dyDescent="0.15">
      <c r="A184" s="250" t="s">
        <v>69</v>
      </c>
      <c r="B184" s="253" t="s">
        <v>17</v>
      </c>
      <c r="C184" s="255">
        <v>24200</v>
      </c>
      <c r="D184" s="254">
        <f t="shared" ref="D184:D189" si="60">C184*0.3</f>
        <v>7260</v>
      </c>
      <c r="E184" s="254">
        <f t="shared" ref="E184:E189" si="61">C184*0.5</f>
        <v>12100</v>
      </c>
      <c r="F184" s="254">
        <f t="shared" ref="F184:F189" si="62">C184*0.8</f>
        <v>19360</v>
      </c>
      <c r="H184" s="257"/>
      <c r="I184" s="257"/>
      <c r="J184" s="257"/>
      <c r="K184" s="257"/>
      <c r="M184" s="257"/>
      <c r="N184" s="257"/>
      <c r="O184" s="257"/>
      <c r="P184" s="257"/>
    </row>
    <row r="185" spans="1:16" x14ac:dyDescent="0.15">
      <c r="A185" s="251"/>
      <c r="B185" s="253" t="s">
        <v>1</v>
      </c>
      <c r="C185" s="253">
        <v>21400</v>
      </c>
      <c r="D185" s="254">
        <f t="shared" si="60"/>
        <v>6420</v>
      </c>
      <c r="E185" s="254">
        <f t="shared" si="61"/>
        <v>10700</v>
      </c>
      <c r="F185" s="254">
        <f t="shared" si="62"/>
        <v>17120</v>
      </c>
      <c r="H185" s="254">
        <f>C185*0.5</f>
        <v>10700</v>
      </c>
      <c r="I185" s="254">
        <f>D185*0.5</f>
        <v>3210</v>
      </c>
      <c r="J185" s="254">
        <f>E185*0.5</f>
        <v>5350</v>
      </c>
      <c r="K185" s="254">
        <f>F185*0.5</f>
        <v>8560</v>
      </c>
      <c r="M185" s="254">
        <f>C185*0.75</f>
        <v>16050</v>
      </c>
      <c r="N185" s="254">
        <f>D185*0.75</f>
        <v>4815</v>
      </c>
      <c r="O185" s="254">
        <f>E185*0.75</f>
        <v>8025</v>
      </c>
      <c r="P185" s="254">
        <f>F185*0.75</f>
        <v>12840</v>
      </c>
    </row>
    <row r="186" spans="1:16" x14ac:dyDescent="0.15">
      <c r="A186" s="250" t="s">
        <v>79</v>
      </c>
      <c r="B186" s="253" t="s">
        <v>17</v>
      </c>
      <c r="C186" s="253">
        <v>7400</v>
      </c>
      <c r="D186" s="254">
        <f t="shared" si="60"/>
        <v>2220</v>
      </c>
      <c r="E186" s="254">
        <f t="shared" si="61"/>
        <v>3700</v>
      </c>
      <c r="F186" s="254">
        <f t="shared" si="62"/>
        <v>5920</v>
      </c>
      <c r="H186" s="257"/>
      <c r="I186" s="257"/>
      <c r="J186" s="257"/>
      <c r="K186" s="257"/>
      <c r="M186" s="257"/>
      <c r="N186" s="257"/>
      <c r="O186" s="257"/>
      <c r="P186" s="257"/>
    </row>
    <row r="187" spans="1:16" x14ac:dyDescent="0.15">
      <c r="A187" s="251"/>
      <c r="B187" s="253" t="s">
        <v>1</v>
      </c>
      <c r="C187" s="253">
        <v>5800</v>
      </c>
      <c r="D187" s="254">
        <f t="shared" si="60"/>
        <v>1740</v>
      </c>
      <c r="E187" s="254">
        <f t="shared" si="61"/>
        <v>2900</v>
      </c>
      <c r="F187" s="254">
        <f t="shared" si="62"/>
        <v>4640</v>
      </c>
      <c r="H187" s="254">
        <f>C187*0.5</f>
        <v>2900</v>
      </c>
      <c r="I187" s="254">
        <f>D187*0.5</f>
        <v>870</v>
      </c>
      <c r="J187" s="254">
        <f>E187*0.5</f>
        <v>1450</v>
      </c>
      <c r="K187" s="254">
        <f>F187*0.5</f>
        <v>2320</v>
      </c>
      <c r="M187" s="254">
        <f>C187*0.75</f>
        <v>4350</v>
      </c>
      <c r="N187" s="254">
        <f>D187*0.75</f>
        <v>1305</v>
      </c>
      <c r="O187" s="254">
        <f>E187*0.75</f>
        <v>2175</v>
      </c>
      <c r="P187" s="254">
        <f>F187*0.75</f>
        <v>3480</v>
      </c>
    </row>
    <row r="188" spans="1:16" x14ac:dyDescent="0.15">
      <c r="A188" s="250" t="s">
        <v>43</v>
      </c>
      <c r="B188" s="253" t="s">
        <v>17</v>
      </c>
      <c r="C188" s="253">
        <v>9400</v>
      </c>
      <c r="D188" s="254">
        <f t="shared" si="60"/>
        <v>2820</v>
      </c>
      <c r="E188" s="254">
        <f t="shared" si="61"/>
        <v>4700</v>
      </c>
      <c r="F188" s="254">
        <f t="shared" si="62"/>
        <v>7520</v>
      </c>
      <c r="H188" s="257"/>
      <c r="I188" s="257"/>
      <c r="J188" s="257"/>
      <c r="K188" s="257"/>
      <c r="M188" s="257"/>
      <c r="N188" s="257"/>
      <c r="O188" s="257"/>
      <c r="P188" s="257"/>
    </row>
    <row r="189" spans="1:16" x14ac:dyDescent="0.15">
      <c r="A189" s="251"/>
      <c r="B189" s="253" t="s">
        <v>1</v>
      </c>
      <c r="C189" s="253">
        <v>6100</v>
      </c>
      <c r="D189" s="254">
        <f t="shared" si="60"/>
        <v>1830</v>
      </c>
      <c r="E189" s="254">
        <f t="shared" si="61"/>
        <v>3050</v>
      </c>
      <c r="F189" s="254">
        <f t="shared" si="62"/>
        <v>4880</v>
      </c>
      <c r="H189" s="257"/>
      <c r="I189" s="257"/>
      <c r="J189" s="257"/>
      <c r="K189" s="257"/>
      <c r="M189" s="257"/>
      <c r="N189" s="257"/>
      <c r="O189" s="257"/>
      <c r="P189" s="257"/>
    </row>
    <row r="191" spans="1:16" x14ac:dyDescent="0.15">
      <c r="H191" s="248" t="s">
        <v>97</v>
      </c>
      <c r="M191" s="248" t="s">
        <v>88</v>
      </c>
    </row>
    <row r="192" spans="1:16" x14ac:dyDescent="0.15">
      <c r="A192" s="249" t="s">
        <v>200</v>
      </c>
      <c r="B192" s="252"/>
      <c r="C192" s="254" t="s">
        <v>81</v>
      </c>
      <c r="D192" s="256" t="s">
        <v>93</v>
      </c>
      <c r="E192" s="254" t="s">
        <v>94</v>
      </c>
      <c r="F192" s="254" t="s">
        <v>95</v>
      </c>
      <c r="H192" s="254" t="s">
        <v>81</v>
      </c>
      <c r="I192" s="254" t="s">
        <v>93</v>
      </c>
      <c r="J192" s="254" t="s">
        <v>94</v>
      </c>
      <c r="K192" s="254" t="s">
        <v>95</v>
      </c>
      <c r="M192" s="254" t="s">
        <v>81</v>
      </c>
      <c r="N192" s="254" t="s">
        <v>93</v>
      </c>
      <c r="O192" s="254" t="s">
        <v>94</v>
      </c>
      <c r="P192" s="254" t="s">
        <v>95</v>
      </c>
    </row>
    <row r="193" spans="1:16" x14ac:dyDescent="0.15">
      <c r="A193" s="250" t="s">
        <v>69</v>
      </c>
      <c r="B193" s="253" t="s">
        <v>17</v>
      </c>
      <c r="C193" s="255">
        <v>24200</v>
      </c>
      <c r="D193" s="254">
        <f t="shared" ref="D193:D198" si="63">C193*0.3</f>
        <v>7260</v>
      </c>
      <c r="E193" s="254">
        <f t="shared" ref="E193:E198" si="64">C193*0.5</f>
        <v>12100</v>
      </c>
      <c r="F193" s="254">
        <f t="shared" ref="F193:F198" si="65">C193*0.8</f>
        <v>19360</v>
      </c>
      <c r="H193" s="257"/>
      <c r="I193" s="257"/>
      <c r="J193" s="257"/>
      <c r="K193" s="257"/>
      <c r="M193" s="257"/>
      <c r="N193" s="257"/>
      <c r="O193" s="257"/>
      <c r="P193" s="257"/>
    </row>
    <row r="194" spans="1:16" x14ac:dyDescent="0.15">
      <c r="A194" s="251"/>
      <c r="B194" s="253" t="s">
        <v>1</v>
      </c>
      <c r="C194" s="253">
        <v>21400</v>
      </c>
      <c r="D194" s="254">
        <f t="shared" si="63"/>
        <v>6420</v>
      </c>
      <c r="E194" s="254">
        <f t="shared" si="64"/>
        <v>10700</v>
      </c>
      <c r="F194" s="254">
        <f t="shared" si="65"/>
        <v>17120</v>
      </c>
      <c r="H194" s="254">
        <f>C194*0.5</f>
        <v>10700</v>
      </c>
      <c r="I194" s="254">
        <f>D194*0.5</f>
        <v>3210</v>
      </c>
      <c r="J194" s="254">
        <f>E194*0.5</f>
        <v>5350</v>
      </c>
      <c r="K194" s="254">
        <f>F194*0.5</f>
        <v>8560</v>
      </c>
      <c r="M194" s="254">
        <f>C194*0.75</f>
        <v>16050</v>
      </c>
      <c r="N194" s="254">
        <f>D194*0.75</f>
        <v>4815</v>
      </c>
      <c r="O194" s="254">
        <f>E194*0.75</f>
        <v>8025</v>
      </c>
      <c r="P194" s="254">
        <f>F194*0.75</f>
        <v>12840</v>
      </c>
    </row>
    <row r="195" spans="1:16" x14ac:dyDescent="0.15">
      <c r="A195" s="250" t="s">
        <v>79</v>
      </c>
      <c r="B195" s="253" t="s">
        <v>17</v>
      </c>
      <c r="C195" s="253">
        <v>7400</v>
      </c>
      <c r="D195" s="254">
        <f t="shared" si="63"/>
        <v>2220</v>
      </c>
      <c r="E195" s="254">
        <f t="shared" si="64"/>
        <v>3700</v>
      </c>
      <c r="F195" s="254">
        <f t="shared" si="65"/>
        <v>5920</v>
      </c>
      <c r="H195" s="257"/>
      <c r="I195" s="257"/>
      <c r="J195" s="257"/>
      <c r="K195" s="257"/>
      <c r="M195" s="257"/>
      <c r="N195" s="257"/>
      <c r="O195" s="257"/>
      <c r="P195" s="257"/>
    </row>
    <row r="196" spans="1:16" x14ac:dyDescent="0.15">
      <c r="A196" s="251"/>
      <c r="B196" s="253" t="s">
        <v>1</v>
      </c>
      <c r="C196" s="253">
        <v>5800</v>
      </c>
      <c r="D196" s="254">
        <f t="shared" si="63"/>
        <v>1740</v>
      </c>
      <c r="E196" s="254">
        <f t="shared" si="64"/>
        <v>2900</v>
      </c>
      <c r="F196" s="254">
        <f t="shared" si="65"/>
        <v>4640</v>
      </c>
      <c r="H196" s="254">
        <f>C196*0.5</f>
        <v>2900</v>
      </c>
      <c r="I196" s="254">
        <f>D196*0.5</f>
        <v>870</v>
      </c>
      <c r="J196" s="254">
        <f>E196*0.5</f>
        <v>1450</v>
      </c>
      <c r="K196" s="254">
        <f>F196*0.5</f>
        <v>2320</v>
      </c>
      <c r="M196" s="254">
        <f>C196*0.75</f>
        <v>4350</v>
      </c>
      <c r="N196" s="254">
        <f>D196*0.75</f>
        <v>1305</v>
      </c>
      <c r="O196" s="254">
        <f>E196*0.75</f>
        <v>2175</v>
      </c>
      <c r="P196" s="254">
        <f>F196*0.75</f>
        <v>3480</v>
      </c>
    </row>
    <row r="197" spans="1:16" x14ac:dyDescent="0.15">
      <c r="A197" s="250" t="s">
        <v>43</v>
      </c>
      <c r="B197" s="253" t="s">
        <v>17</v>
      </c>
      <c r="C197" s="253">
        <v>9400</v>
      </c>
      <c r="D197" s="254">
        <f t="shared" si="63"/>
        <v>2820</v>
      </c>
      <c r="E197" s="254">
        <f t="shared" si="64"/>
        <v>4700</v>
      </c>
      <c r="F197" s="254">
        <f t="shared" si="65"/>
        <v>7520</v>
      </c>
      <c r="H197" s="257"/>
      <c r="I197" s="257"/>
      <c r="J197" s="257"/>
      <c r="K197" s="257"/>
      <c r="M197" s="257"/>
      <c r="N197" s="257"/>
      <c r="O197" s="257"/>
      <c r="P197" s="257"/>
    </row>
    <row r="198" spans="1:16" x14ac:dyDescent="0.15">
      <c r="A198" s="251"/>
      <c r="B198" s="253" t="s">
        <v>1</v>
      </c>
      <c r="C198" s="253">
        <v>6100</v>
      </c>
      <c r="D198" s="254">
        <f t="shared" si="63"/>
        <v>1830</v>
      </c>
      <c r="E198" s="254">
        <f t="shared" si="64"/>
        <v>3050</v>
      </c>
      <c r="F198" s="254">
        <f t="shared" si="65"/>
        <v>4880</v>
      </c>
      <c r="H198" s="257"/>
      <c r="I198" s="257"/>
      <c r="J198" s="257"/>
      <c r="K198" s="257"/>
      <c r="M198" s="257"/>
      <c r="N198" s="257"/>
      <c r="O198" s="257"/>
      <c r="P198" s="257"/>
    </row>
    <row r="200" spans="1:16" x14ac:dyDescent="0.15">
      <c r="H200" s="248" t="s">
        <v>97</v>
      </c>
      <c r="M200" s="248" t="s">
        <v>88</v>
      </c>
    </row>
    <row r="201" spans="1:16" x14ac:dyDescent="0.15">
      <c r="A201" s="249" t="s">
        <v>172</v>
      </c>
      <c r="B201" s="252"/>
      <c r="C201" s="254" t="s">
        <v>81</v>
      </c>
      <c r="D201" s="256" t="s">
        <v>93</v>
      </c>
      <c r="E201" s="254" t="s">
        <v>94</v>
      </c>
      <c r="F201" s="254" t="s">
        <v>95</v>
      </c>
      <c r="H201" s="254" t="s">
        <v>81</v>
      </c>
      <c r="I201" s="254" t="s">
        <v>93</v>
      </c>
      <c r="J201" s="254" t="s">
        <v>94</v>
      </c>
      <c r="K201" s="254" t="s">
        <v>95</v>
      </c>
      <c r="M201" s="254" t="s">
        <v>81</v>
      </c>
      <c r="N201" s="254" t="s">
        <v>93</v>
      </c>
      <c r="O201" s="254" t="s">
        <v>94</v>
      </c>
      <c r="P201" s="254" t="s">
        <v>95</v>
      </c>
    </row>
    <row r="202" spans="1:16" x14ac:dyDescent="0.15">
      <c r="A202" s="250" t="s">
        <v>69</v>
      </c>
      <c r="B202" s="253" t="s">
        <v>17</v>
      </c>
      <c r="C202" s="255">
        <v>24200</v>
      </c>
      <c r="D202" s="254">
        <f t="shared" ref="D202:D207" si="66">C202*0.3</f>
        <v>7260</v>
      </c>
      <c r="E202" s="254">
        <f t="shared" ref="E202:E207" si="67">C202*0.5</f>
        <v>12100</v>
      </c>
      <c r="F202" s="254">
        <f t="shared" ref="F202:F207" si="68">C202*0.8</f>
        <v>19360</v>
      </c>
      <c r="H202" s="257"/>
      <c r="I202" s="257"/>
      <c r="J202" s="257"/>
      <c r="K202" s="257"/>
      <c r="M202" s="257"/>
      <c r="N202" s="257"/>
      <c r="O202" s="257"/>
      <c r="P202" s="257"/>
    </row>
    <row r="203" spans="1:16" x14ac:dyDescent="0.15">
      <c r="A203" s="251"/>
      <c r="B203" s="253" t="s">
        <v>1</v>
      </c>
      <c r="C203" s="253">
        <v>21400</v>
      </c>
      <c r="D203" s="254">
        <f t="shared" si="66"/>
        <v>6420</v>
      </c>
      <c r="E203" s="254">
        <f t="shared" si="67"/>
        <v>10700</v>
      </c>
      <c r="F203" s="254">
        <f t="shared" si="68"/>
        <v>17120</v>
      </c>
      <c r="H203" s="254">
        <f>C203*0.5</f>
        <v>10700</v>
      </c>
      <c r="I203" s="254">
        <f>D203*0.5</f>
        <v>3210</v>
      </c>
      <c r="J203" s="254">
        <f>E203*0.5</f>
        <v>5350</v>
      </c>
      <c r="K203" s="254">
        <f>F203*0.5</f>
        <v>8560</v>
      </c>
      <c r="M203" s="254">
        <f>C203*0.75</f>
        <v>16050</v>
      </c>
      <c r="N203" s="254">
        <f>D203*0.75</f>
        <v>4815</v>
      </c>
      <c r="O203" s="254">
        <f>E203*0.75</f>
        <v>8025</v>
      </c>
      <c r="P203" s="254">
        <f>F203*0.75</f>
        <v>12840</v>
      </c>
    </row>
    <row r="204" spans="1:16" x14ac:dyDescent="0.15">
      <c r="A204" s="250" t="s">
        <v>79</v>
      </c>
      <c r="B204" s="253" t="s">
        <v>17</v>
      </c>
      <c r="C204" s="253">
        <v>7400</v>
      </c>
      <c r="D204" s="254">
        <f t="shared" si="66"/>
        <v>2220</v>
      </c>
      <c r="E204" s="254">
        <f t="shared" si="67"/>
        <v>3700</v>
      </c>
      <c r="F204" s="254">
        <f t="shared" si="68"/>
        <v>5920</v>
      </c>
      <c r="H204" s="257"/>
      <c r="I204" s="257"/>
      <c r="J204" s="257"/>
      <c r="K204" s="257"/>
      <c r="M204" s="257"/>
      <c r="N204" s="257"/>
      <c r="O204" s="257"/>
      <c r="P204" s="257"/>
    </row>
    <row r="205" spans="1:16" x14ac:dyDescent="0.15">
      <c r="A205" s="251"/>
      <c r="B205" s="253" t="s">
        <v>1</v>
      </c>
      <c r="C205" s="253">
        <v>5800</v>
      </c>
      <c r="D205" s="254">
        <f t="shared" si="66"/>
        <v>1740</v>
      </c>
      <c r="E205" s="254">
        <f t="shared" si="67"/>
        <v>2900</v>
      </c>
      <c r="F205" s="254">
        <f t="shared" si="68"/>
        <v>4640</v>
      </c>
      <c r="H205" s="254">
        <f>C205*0.5</f>
        <v>2900</v>
      </c>
      <c r="I205" s="254">
        <f>D205*0.5</f>
        <v>870</v>
      </c>
      <c r="J205" s="254">
        <f>E205*0.5</f>
        <v>1450</v>
      </c>
      <c r="K205" s="254">
        <f>F205*0.5</f>
        <v>2320</v>
      </c>
      <c r="M205" s="254">
        <f>C205*0.75</f>
        <v>4350</v>
      </c>
      <c r="N205" s="254">
        <f>D205*0.75</f>
        <v>1305</v>
      </c>
      <c r="O205" s="254">
        <f>E205*0.75</f>
        <v>2175</v>
      </c>
      <c r="P205" s="254">
        <f>F205*0.75</f>
        <v>3480</v>
      </c>
    </row>
    <row r="206" spans="1:16" x14ac:dyDescent="0.15">
      <c r="A206" s="250" t="s">
        <v>43</v>
      </c>
      <c r="B206" s="253" t="s">
        <v>17</v>
      </c>
      <c r="C206" s="253">
        <v>9400</v>
      </c>
      <c r="D206" s="254">
        <f t="shared" si="66"/>
        <v>2820</v>
      </c>
      <c r="E206" s="254">
        <f t="shared" si="67"/>
        <v>4700</v>
      </c>
      <c r="F206" s="254">
        <f t="shared" si="68"/>
        <v>7520</v>
      </c>
      <c r="H206" s="257"/>
      <c r="I206" s="257"/>
      <c r="J206" s="257"/>
      <c r="K206" s="257"/>
      <c r="M206" s="257"/>
      <c r="N206" s="257"/>
      <c r="O206" s="257"/>
      <c r="P206" s="257"/>
    </row>
    <row r="207" spans="1:16" x14ac:dyDescent="0.15">
      <c r="A207" s="251"/>
      <c r="B207" s="253" t="s">
        <v>1</v>
      </c>
      <c r="C207" s="253">
        <v>6100</v>
      </c>
      <c r="D207" s="254">
        <f t="shared" si="66"/>
        <v>1830</v>
      </c>
      <c r="E207" s="254">
        <f t="shared" si="67"/>
        <v>3050</v>
      </c>
      <c r="F207" s="254">
        <f t="shared" si="68"/>
        <v>4880</v>
      </c>
      <c r="H207" s="257"/>
      <c r="I207" s="257"/>
      <c r="J207" s="257"/>
      <c r="K207" s="257"/>
      <c r="M207" s="257"/>
      <c r="N207" s="257"/>
      <c r="O207" s="257"/>
      <c r="P207" s="257"/>
    </row>
    <row r="209" spans="1:16" x14ac:dyDescent="0.15">
      <c r="H209" s="248" t="s">
        <v>97</v>
      </c>
      <c r="M209" s="248" t="s">
        <v>88</v>
      </c>
    </row>
    <row r="210" spans="1:16" x14ac:dyDescent="0.15">
      <c r="A210" s="249" t="s">
        <v>210</v>
      </c>
      <c r="B210" s="252"/>
      <c r="C210" s="254" t="s">
        <v>81</v>
      </c>
      <c r="D210" s="256" t="s">
        <v>93</v>
      </c>
      <c r="E210" s="254" t="s">
        <v>94</v>
      </c>
      <c r="F210" s="254" t="s">
        <v>95</v>
      </c>
      <c r="H210" s="254" t="s">
        <v>81</v>
      </c>
      <c r="I210" s="254" t="s">
        <v>93</v>
      </c>
      <c r="J210" s="254" t="s">
        <v>94</v>
      </c>
      <c r="K210" s="254" t="s">
        <v>95</v>
      </c>
      <c r="M210" s="254" t="s">
        <v>81</v>
      </c>
      <c r="N210" s="254" t="s">
        <v>93</v>
      </c>
      <c r="O210" s="254" t="s">
        <v>94</v>
      </c>
      <c r="P210" s="254" t="s">
        <v>95</v>
      </c>
    </row>
    <row r="211" spans="1:16" x14ac:dyDescent="0.15">
      <c r="A211" s="250" t="s">
        <v>69</v>
      </c>
      <c r="B211" s="253" t="s">
        <v>17</v>
      </c>
      <c r="C211" s="255"/>
      <c r="D211" s="254">
        <f t="shared" ref="D211:D218" si="69">C211*0.3</f>
        <v>0</v>
      </c>
      <c r="E211" s="254">
        <f t="shared" ref="E211:E218" si="70">C211*0.5</f>
        <v>0</v>
      </c>
      <c r="F211" s="254">
        <f t="shared" ref="F211:F218" si="71">C211*0.8</f>
        <v>0</v>
      </c>
      <c r="H211" s="257"/>
      <c r="I211" s="257"/>
      <c r="J211" s="257"/>
      <c r="K211" s="257"/>
      <c r="M211" s="257"/>
      <c r="N211" s="257"/>
      <c r="O211" s="257"/>
      <c r="P211" s="257"/>
    </row>
    <row r="212" spans="1:16" x14ac:dyDescent="0.15">
      <c r="A212" s="251"/>
      <c r="B212" s="253" t="s">
        <v>1</v>
      </c>
      <c r="C212" s="253"/>
      <c r="D212" s="254">
        <f t="shared" si="69"/>
        <v>0</v>
      </c>
      <c r="E212" s="254">
        <f t="shared" si="70"/>
        <v>0</v>
      </c>
      <c r="F212" s="254">
        <f t="shared" si="71"/>
        <v>0</v>
      </c>
      <c r="H212" s="254">
        <f>C212*0.5</f>
        <v>0</v>
      </c>
      <c r="I212" s="254">
        <f>D212*0.5</f>
        <v>0</v>
      </c>
      <c r="J212" s="254">
        <f>E212*0.5</f>
        <v>0</v>
      </c>
      <c r="K212" s="254">
        <f>F212*0.5</f>
        <v>0</v>
      </c>
      <c r="M212" s="254">
        <f>C212*0.75</f>
        <v>0</v>
      </c>
      <c r="N212" s="254">
        <f>D212*0.75</f>
        <v>0</v>
      </c>
      <c r="O212" s="254">
        <f>E212*0.75</f>
        <v>0</v>
      </c>
      <c r="P212" s="254">
        <f>F212*0.75</f>
        <v>0</v>
      </c>
    </row>
    <row r="213" spans="1:16" x14ac:dyDescent="0.15">
      <c r="A213" s="250" t="s">
        <v>79</v>
      </c>
      <c r="B213" s="253" t="s">
        <v>17</v>
      </c>
      <c r="C213" s="253"/>
      <c r="D213" s="254">
        <f t="shared" si="69"/>
        <v>0</v>
      </c>
      <c r="E213" s="254">
        <f t="shared" si="70"/>
        <v>0</v>
      </c>
      <c r="F213" s="254">
        <f t="shared" si="71"/>
        <v>0</v>
      </c>
      <c r="H213" s="257"/>
      <c r="I213" s="257"/>
      <c r="J213" s="257"/>
      <c r="K213" s="257"/>
      <c r="M213" s="257"/>
      <c r="N213" s="257"/>
      <c r="O213" s="257"/>
      <c r="P213" s="257"/>
    </row>
    <row r="214" spans="1:16" x14ac:dyDescent="0.15">
      <c r="A214" s="251"/>
      <c r="B214" s="253" t="s">
        <v>1</v>
      </c>
      <c r="C214" s="253"/>
      <c r="D214" s="254">
        <f t="shared" si="69"/>
        <v>0</v>
      </c>
      <c r="E214" s="254">
        <f t="shared" si="70"/>
        <v>0</v>
      </c>
      <c r="F214" s="254">
        <f t="shared" si="71"/>
        <v>0</v>
      </c>
      <c r="H214" s="254">
        <f>C214*0.5</f>
        <v>0</v>
      </c>
      <c r="I214" s="254">
        <f>D214*0.5</f>
        <v>0</v>
      </c>
      <c r="J214" s="254">
        <f>E214*0.5</f>
        <v>0</v>
      </c>
      <c r="K214" s="254">
        <f>F214*0.5</f>
        <v>0</v>
      </c>
      <c r="M214" s="254">
        <f>C214*0.75</f>
        <v>0</v>
      </c>
      <c r="N214" s="254">
        <f>D214*0.75</f>
        <v>0</v>
      </c>
      <c r="O214" s="254">
        <f>E214*0.75</f>
        <v>0</v>
      </c>
      <c r="P214" s="254">
        <f>F214*0.75</f>
        <v>0</v>
      </c>
    </row>
    <row r="215" spans="1:16" x14ac:dyDescent="0.15">
      <c r="A215" s="250" t="s">
        <v>43</v>
      </c>
      <c r="B215" s="253" t="s">
        <v>17</v>
      </c>
      <c r="C215" s="253"/>
      <c r="D215" s="254">
        <f t="shared" si="69"/>
        <v>0</v>
      </c>
      <c r="E215" s="254">
        <f t="shared" si="70"/>
        <v>0</v>
      </c>
      <c r="F215" s="254">
        <f t="shared" si="71"/>
        <v>0</v>
      </c>
      <c r="H215" s="257"/>
      <c r="I215" s="257"/>
      <c r="J215" s="257"/>
      <c r="K215" s="257"/>
      <c r="M215" s="257"/>
      <c r="N215" s="257"/>
      <c r="O215" s="257"/>
      <c r="P215" s="257"/>
    </row>
    <row r="216" spans="1:16" x14ac:dyDescent="0.15">
      <c r="A216" s="251"/>
      <c r="B216" s="253" t="s">
        <v>1</v>
      </c>
      <c r="C216" s="253"/>
      <c r="D216" s="254">
        <f t="shared" si="69"/>
        <v>0</v>
      </c>
      <c r="E216" s="254">
        <f t="shared" si="70"/>
        <v>0</v>
      </c>
      <c r="F216" s="254">
        <f t="shared" si="71"/>
        <v>0</v>
      </c>
      <c r="H216" s="257"/>
      <c r="I216" s="257"/>
      <c r="J216" s="257"/>
      <c r="K216" s="257"/>
      <c r="M216" s="257"/>
      <c r="N216" s="257"/>
      <c r="O216" s="257"/>
      <c r="P216" s="257"/>
    </row>
    <row r="217" spans="1:16" x14ac:dyDescent="0.15">
      <c r="A217" s="250" t="s">
        <v>202</v>
      </c>
      <c r="B217" s="253" t="s">
        <v>17</v>
      </c>
      <c r="C217" s="253"/>
      <c r="D217" s="254">
        <f t="shared" si="69"/>
        <v>0</v>
      </c>
      <c r="E217" s="254">
        <f t="shared" si="70"/>
        <v>0</v>
      </c>
      <c r="F217" s="254">
        <f t="shared" si="71"/>
        <v>0</v>
      </c>
      <c r="H217" s="257"/>
      <c r="I217" s="257"/>
      <c r="J217" s="257"/>
      <c r="K217" s="257"/>
      <c r="M217" s="257"/>
      <c r="N217" s="257"/>
      <c r="O217" s="257"/>
      <c r="P217" s="257"/>
    </row>
    <row r="218" spans="1:16" x14ac:dyDescent="0.15">
      <c r="A218" s="251"/>
      <c r="B218" s="253" t="s">
        <v>1</v>
      </c>
      <c r="C218" s="253"/>
      <c r="D218" s="254">
        <f t="shared" si="69"/>
        <v>0</v>
      </c>
      <c r="E218" s="254">
        <f t="shared" si="70"/>
        <v>0</v>
      </c>
      <c r="F218" s="254">
        <f t="shared" si="71"/>
        <v>0</v>
      </c>
      <c r="H218" s="257"/>
      <c r="I218" s="257"/>
      <c r="J218" s="257"/>
      <c r="K218" s="257"/>
      <c r="M218" s="257"/>
      <c r="N218" s="257"/>
      <c r="O218" s="257"/>
      <c r="P218" s="257"/>
    </row>
  </sheetData>
  <sheetProtection sheet="1" objects="1" scenarios="1"/>
  <phoneticPr fontId="1"/>
  <dataValidations count="1">
    <dataValidation type="whole" imeMode="off" operator="greaterThanOrEqual" allowBlank="1" showInputMessage="1" showErrorMessage="1" sqref="C5:C10 C13:C18 C23:C28 C31:C36 C41:C46 C49:C54 C59:C64 C67:C72 C77:C82 C85:C90 C95:C100 C103:C108 C113:C118 C121:C126 C130:C135 C139:C144 C148:C153 C157:C162 C166:C171 C175:C180 C184:C189 C193:C198 C202:C207 C211:C218" xr:uid="{00000000-0002-0000-0300-000000000000}">
      <formula1>0</formula1>
    </dataValidation>
  </dataValidations>
  <pageMargins left="0.7" right="0.7" top="0.75" bottom="0.75" header="0.3" footer="0.3"/>
  <pageSetup paperSize="9" scale="9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vt:lpstr>
      <vt:lpstr>計算</vt:lpstr>
      <vt:lpstr>税率・条件</vt:lpstr>
      <vt:lpstr>Sheet1</vt:lpstr>
      <vt:lpstr>計算!Print_Area</vt:lpstr>
      <vt:lpstr>高崎市全体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Hitachi</dc:creator>
  <cp:lastModifiedBy>Administrator</cp:lastModifiedBy>
  <cp:lastPrinted>2025-11-06T00:52:24Z</cp:lastPrinted>
  <dcterms:created xsi:type="dcterms:W3CDTF">2005-08-16T09:48:45Z</dcterms:created>
  <dcterms:modified xsi:type="dcterms:W3CDTF">2026-03-11T02:59:01Z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2026-01-20T06:15:15Z</vt:filetime>
  </property>
</Properties>
</file>