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28035" windowHeight="12315" activeTab="0"/>
  </bookViews>
  <sheets>
    <sheet name="R2年度（HP掲載用）" sheetId="1" r:id="rId1"/>
  </sheets>
  <definedNames>
    <definedName name="_xlnm.Print_Area" localSheetId="0">'R2年度（HP掲載用）'!$B$1:$BH$134</definedName>
  </definedNames>
  <calcPr fullCalcOnLoad="1"/>
</workbook>
</file>

<file path=xl/comments1.xml><?xml version="1.0" encoding="utf-8"?>
<comments xmlns="http://schemas.openxmlformats.org/spreadsheetml/2006/main">
  <authors>
    <author>窓口Ｗ0188</author>
    <author>窓口W0166</author>
    <author>神宮大</author>
  </authors>
  <commentList>
    <comment ref="AN104" authorId="0">
      <text>
        <r>
          <rPr>
            <b/>
            <sz val="9"/>
            <color indexed="10"/>
            <rFont val="ＭＳ Ｐゴシック"/>
            <family val="3"/>
          </rPr>
          <t>H28年度～20%</t>
        </r>
      </text>
    </comment>
    <comment ref="AN105" authorId="0">
      <text>
        <r>
          <rPr>
            <b/>
            <sz val="9"/>
            <color indexed="10"/>
            <rFont val="ＭＳ Ｐゴシック"/>
            <family val="3"/>
          </rPr>
          <t>H28年度～20%</t>
        </r>
      </text>
    </comment>
    <comment ref="AY64" authorId="1">
      <text>
        <r>
          <rPr>
            <b/>
            <sz val="9"/>
            <color indexed="10"/>
            <rFont val="ＭＳ Ｐゴシック"/>
            <family val="3"/>
          </rPr>
          <t>H28年度～最高税率45%</t>
        </r>
      </text>
    </comment>
    <comment ref="BO109" authorId="1">
      <text>
        <r>
          <rPr>
            <b/>
            <sz val="9"/>
            <color indexed="39"/>
            <rFont val="ＭＳ Ｐゴシック"/>
            <family val="3"/>
          </rPr>
          <t>地方団体の徴収金
の端数計算について</t>
        </r>
      </text>
    </comment>
    <comment ref="BA120" authorId="1">
      <text>
        <r>
          <rPr>
            <b/>
            <sz val="9"/>
            <color indexed="39"/>
            <rFont val="ＭＳ Ｐゴシック"/>
            <family val="3"/>
          </rPr>
          <t>根拠法令不明…
e-SUITEは切り上げ</t>
        </r>
      </text>
    </comment>
    <comment ref="BA121" authorId="1">
      <text>
        <r>
          <rPr>
            <b/>
            <sz val="9"/>
            <color indexed="39"/>
            <rFont val="ＭＳ Ｐゴシック"/>
            <family val="3"/>
          </rPr>
          <t>根拠法令不明…
e-SUITEは切り上げ</t>
        </r>
      </text>
    </comment>
    <comment ref="BO110" authorId="1">
      <text>
        <r>
          <rPr>
            <b/>
            <sz val="9"/>
            <color indexed="39"/>
            <rFont val="ＭＳ Ｐゴシック"/>
            <family val="3"/>
          </rPr>
          <t>地方団体の徴収金
の端数計算について</t>
        </r>
      </text>
    </comment>
    <comment ref="BB55" authorId="2">
      <text>
        <r>
          <rPr>
            <b/>
            <sz val="9"/>
            <color indexed="10"/>
            <rFont val="ＭＳ Ｐゴシック"/>
            <family val="3"/>
          </rPr>
          <t>合計所得1,000万円超の
場合、0となり、注意メッセ
ージは表示していない</t>
        </r>
      </text>
    </comment>
  </commentList>
</comments>
</file>

<file path=xl/sharedStrings.xml><?xml version="1.0" encoding="utf-8"?>
<sst xmlns="http://schemas.openxmlformats.org/spreadsheetml/2006/main" count="362" uniqueCount="265">
  <si>
    <t>円</t>
  </si>
  <si>
    <t>公 的 年 金 収 入</t>
  </si>
  <si>
    <t>給　　　　与　　　　収　　　　入</t>
  </si>
  <si>
    <t>所得の種類</t>
  </si>
  <si>
    <t>収入金額</t>
  </si>
  <si>
    <t>所得金額</t>
  </si>
  <si>
    <t>その他の所得（収入金額から必要経費を差し引いた額）</t>
  </si>
  <si>
    <t>計</t>
  </si>
  <si>
    <t>所得金額について</t>
  </si>
  <si>
    <t>所得控除額（所得から差し引かれる金額）について</t>
  </si>
  <si>
    <t>（１）</t>
  </si>
  <si>
    <t>支払った保険料等に関する項目</t>
  </si>
  <si>
    <t>支払金額等</t>
  </si>
  <si>
    <t>所得控除額</t>
  </si>
  <si>
    <t>円</t>
  </si>
  <si>
    <t>医療費控除</t>
  </si>
  <si>
    <t>支払った保険料</t>
  </si>
  <si>
    <t>支払った医療費</t>
  </si>
  <si>
    <t>新個人年金保険料</t>
  </si>
  <si>
    <t>旧個人年金保険料</t>
  </si>
  <si>
    <t>地震保険料控除</t>
  </si>
  <si>
    <t>旧長期損害保険料</t>
  </si>
  <si>
    <t>勤労学生控除</t>
  </si>
  <si>
    <t>障害者控除</t>
  </si>
  <si>
    <t>扶養に関する項目</t>
  </si>
  <si>
    <t>配偶者の所得金額</t>
  </si>
  <si>
    <t>配偶者控除</t>
  </si>
  <si>
    <t>寡婦控除</t>
  </si>
  <si>
    <t>○</t>
  </si>
  <si>
    <t>普 通 障 害</t>
  </si>
  <si>
    <t>特 別 障 害</t>
  </si>
  <si>
    <t>内</t>
  </si>
  <si>
    <t>人</t>
  </si>
  <si>
    <t>有（70歳未満）</t>
  </si>
  <si>
    <t>有（70歳以上）</t>
  </si>
  <si>
    <t>（３）の内、障害者に関する項目</t>
  </si>
  <si>
    <t>年　齢　区　分</t>
  </si>
  <si>
    <t>小 規 模 企 業 共 済 等 掛 金 控 除</t>
  </si>
  <si>
    <t>社    会    保    険    料    控    除</t>
  </si>
  <si>
    <t>生    命    保    険    料    控    除</t>
  </si>
  <si>
    <t>地    震    保    険    料    控    除</t>
  </si>
  <si>
    <t>雑           損           控           除</t>
  </si>
  <si>
    <t>介護医療保険料</t>
  </si>
  <si>
    <t>地  震  保  険  料</t>
  </si>
  <si>
    <t>新生命保険料</t>
  </si>
  <si>
    <t>旧生命保険料</t>
  </si>
  <si>
    <t>勤       労       学       生       控       除</t>
  </si>
  <si>
    <t>寡     婦   （     寡     夫    ）  控     除</t>
  </si>
  <si>
    <t>障         害          者         控          除</t>
  </si>
  <si>
    <t>配 偶 者 特 別 控 除</t>
  </si>
  <si>
    <t>年  少  扶  養  親  族</t>
  </si>
  <si>
    <t>一  般  扶  養  親  族</t>
  </si>
  <si>
    <t>特  定  扶  養  親  族</t>
  </si>
  <si>
    <t>老  人  扶  養  親  族</t>
  </si>
  <si>
    <t>普         通         障         害         者</t>
  </si>
  <si>
    <t>医療費 － 補てん金額</t>
  </si>
  <si>
    <t>新制度</t>
  </si>
  <si>
    <t>旧制度</t>
  </si>
  <si>
    <t>一般</t>
  </si>
  <si>
    <t>個人</t>
  </si>
  <si>
    <t>介護</t>
  </si>
  <si>
    <t>生命保険料控除</t>
  </si>
  <si>
    <t>―</t>
  </si>
  <si>
    <t>控除合計</t>
  </si>
  <si>
    <t>旧長期</t>
  </si>
  <si>
    <t>地震</t>
  </si>
  <si>
    <t>基　　　　　　　　礎　　　　　　　　控　　　　　　　　除</t>
  </si>
  <si>
    <t>給与収入計算</t>
  </si>
  <si>
    <t>所得合計</t>
  </si>
  <si>
    <t>所得</t>
  </si>
  <si>
    <t xml:space="preserve">給与収入 </t>
  </si>
  <si>
    <t>年金収入計算</t>
  </si>
  <si>
    <t xml:space="preserve">年金収入 </t>
  </si>
  <si>
    <t>65歳未満</t>
  </si>
  <si>
    <t>65歳以上</t>
  </si>
  <si>
    <t>所得金額の合計①</t>
  </si>
  <si>
    <t>非表示項目</t>
  </si>
  <si>
    <t>所得割額の計算</t>
  </si>
  <si>
    <t>寄附金税額控除について</t>
  </si>
  <si>
    <t>寄附先</t>
  </si>
  <si>
    <t>区分</t>
  </si>
  <si>
    <t>市民税</t>
  </si>
  <si>
    <t>県民税</t>
  </si>
  <si>
    <t>合計</t>
  </si>
  <si>
    <t>所得控除額の合計②</t>
  </si>
  <si>
    <t>10 %</t>
  </si>
  <si>
    <t>6 %</t>
  </si>
  <si>
    <t>4 %</t>
  </si>
  <si>
    <t>寡 婦 特 別</t>
  </si>
  <si>
    <t>寡　  　婦</t>
  </si>
  <si>
    <t>寡 　 　夫</t>
  </si>
  <si>
    <t>配偶者所得</t>
  </si>
  <si>
    <t>①</t>
  </si>
  <si>
    <t xml:space="preserve">   個人市民税・県民税額　    </t>
  </si>
  <si>
    <t xml:space="preserve"> ①</t>
  </si>
  <si>
    <t xml:space="preserve"> ②</t>
  </si>
  <si>
    <t xml:space="preserve"> ③（①－②）</t>
  </si>
  <si>
    <t xml:space="preserve"> ④</t>
  </si>
  <si>
    <t xml:space="preserve"> ⑤（③×④）</t>
  </si>
  <si>
    <t xml:space="preserve"> ⑥</t>
  </si>
  <si>
    <t xml:space="preserve"> ⑦</t>
  </si>
  <si>
    <t xml:space="preserve"> ⑧</t>
  </si>
  <si>
    <t xml:space="preserve"> ⑨（⑤－⑥－⑦－⑧）</t>
  </si>
  <si>
    <t xml:space="preserve"> ⑩</t>
  </si>
  <si>
    <t xml:space="preserve"> ⑨＋⑩</t>
  </si>
  <si>
    <t>寡婦（寡夫）控除</t>
  </si>
  <si>
    <t>障害者控除（本人）</t>
  </si>
  <si>
    <t xml:space="preserve">  所  得  金  額  の  合  計　</t>
  </si>
  <si>
    <t xml:space="preserve">  所 得 控 除 額  の 合  計</t>
  </si>
  <si>
    <t xml:space="preserve">  課     税     標    準    額       </t>
  </si>
  <si>
    <t xml:space="preserve">   所 得 割 の 税 率　</t>
  </si>
  <si>
    <t xml:space="preserve">   算 出 所 得 割 計　</t>
  </si>
  <si>
    <t xml:space="preserve">   調  整  控  除  額    </t>
  </si>
  <si>
    <t xml:space="preserve">   所    得    割   額    </t>
  </si>
  <si>
    <t xml:space="preserve">   均      等      割      額     </t>
  </si>
  <si>
    <t>人的控除額の差</t>
  </si>
  <si>
    <t>調整控除⑥</t>
  </si>
  <si>
    <t>勤 労 学 生 控 除</t>
  </si>
  <si>
    <t>配  偶  者  控  除</t>
  </si>
  <si>
    <t>一 般 扶 養 控 除</t>
  </si>
  <si>
    <t>特 定 扶 養 控 除</t>
  </si>
  <si>
    <t>老 人 扶 養 控 除</t>
  </si>
  <si>
    <t>同 居 老 親 控 除</t>
  </si>
  <si>
    <t>同 居 特 障 控 除</t>
  </si>
  <si>
    <t>基   礎   控   除</t>
  </si>
  <si>
    <t>合計額</t>
  </si>
  <si>
    <t>控除区分</t>
  </si>
  <si>
    <t>普通障害者控除</t>
  </si>
  <si>
    <t>特別障害者控除</t>
  </si>
  <si>
    <t>特         別         障         害         者</t>
  </si>
  <si>
    <t>人的控除額の差の合計</t>
  </si>
  <si>
    <t>②</t>
  </si>
  <si>
    <t>課税標準額</t>
  </si>
  <si>
    <t>Ⅰ. 課税標準額が200万円以下の場合</t>
  </si>
  <si>
    <t>①－(②－200万円)×5％</t>
  </si>
  <si>
    <t>Ⅱ. 課税標準額が200万円を超えるの場合</t>
  </si>
  <si>
    <t>③</t>
  </si>
  <si>
    <t>寄付額</t>
  </si>
  <si>
    <t>所得金額×30％</t>
  </si>
  <si>
    <t>①</t>
  </si>
  <si>
    <t>②</t>
  </si>
  <si>
    <t>③</t>
  </si>
  <si>
    <t>① or ②の少ない方</t>
  </si>
  <si>
    <t>④</t>
  </si>
  <si>
    <t>⑤</t>
  </si>
  <si>
    <t>Ⅰ．基本控除分</t>
  </si>
  <si>
    <t>Ⅱ．特例控除分</t>
  </si>
  <si>
    <t>⑥</t>
  </si>
  <si>
    <t>市分  {(③－2,000)×6%｝</t>
  </si>
  <si>
    <t>県分  {(③－2,000)×4%｝</t>
  </si>
  <si>
    <t>Ⅲ．控除合計額</t>
  </si>
  <si>
    <t>所得税の税率</t>
  </si>
  <si>
    <t>市分（基本分＋特例分）</t>
  </si>
  <si>
    <t>県分（基本分＋特例分）</t>
  </si>
  <si>
    <t xml:space="preserve">   税  額  調  整  額　        </t>
  </si>
  <si>
    <t>税額調整額⑦　</t>
  </si>
  <si>
    <t>扶養者人数＋１</t>
  </si>
  <si>
    <t>所得金額の合計</t>
  </si>
  <si>
    <t>調整額</t>
  </si>
  <si>
    <t>※端数切り上げ</t>
  </si>
  <si>
    <t>市分 {②－(③－④)｝×0.6</t>
  </si>
  <si>
    <t>県分 {②－(③－④)｝×0.4</t>
  </si>
  <si>
    <t>均等割非課税基準</t>
  </si>
  <si>
    <t>所得割非課税基準</t>
  </si>
  <si>
    <t>非課税基準</t>
  </si>
  <si>
    <t>③</t>
  </si>
  <si>
    <t>寡婦(夫)，障害，未成年</t>
  </si>
  <si>
    <t>④</t>
  </si>
  <si>
    <t>均等割非課税（②or③の大きい方）</t>
  </si>
  <si>
    <t>所得割非課税（④or⑤の大きい方）</t>
  </si>
  <si>
    <t>上記の内、父母等で同居している老人扶養親族</t>
  </si>
  <si>
    <t>扶養人数</t>
  </si>
  <si>
    <t>障害者人数</t>
  </si>
  <si>
    <t>（単位：円）</t>
  </si>
  <si>
    <t>個人市民税・県民税額の試算シート</t>
  </si>
  <si>
    <t>【注意】</t>
  </si>
  <si>
    <t>※</t>
  </si>
  <si>
    <t>入力
確認</t>
  </si>
  <si>
    <t>の色が付いた項目について、該当する箇所に入力してください。</t>
  </si>
  <si>
    <t>の項目は関数が入力されているため、注意！</t>
  </si>
  <si>
    <r>
      <rPr>
        <sz val="11"/>
        <color indexed="12"/>
        <rFont val="メイリオ"/>
        <family val="3"/>
      </rPr>
      <t>年齢区分リスト　</t>
    </r>
    <r>
      <rPr>
        <sz val="11"/>
        <color indexed="10"/>
        <rFont val="メイリオ"/>
        <family val="3"/>
      </rPr>
      <t>※毎年要変更</t>
    </r>
  </si>
  <si>
    <t>10万 or 所得 × 5％</t>
  </si>
  <si>
    <t>所得 × 5％</t>
  </si>
  <si>
    <t>※</t>
  </si>
  <si>
    <t>【コメント有り】</t>
  </si>
  <si>
    <t>1,628,000 ≦ 収入</t>
  </si>
  <si>
    <t>収入 ＜ 1,628,000</t>
  </si>
  <si>
    <t>※控除額を直接入力してください</t>
  </si>
  <si>
    <t>※1</t>
  </si>
  <si>
    <t>支払った保険料</t>
  </si>
  <si>
    <t xml:space="preserve">高崎市条例指定先団体について、詳しくは高崎市HPをご覧ください </t>
  </si>
  <si>
    <t>→</t>
  </si>
  <si>
    <t>市・県分（算出税額）</t>
  </si>
  <si>
    <t>※端数切り上げ？</t>
  </si>
  <si>
    <t>課税標準額－人的控除額の差</t>
  </si>
  <si>
    <t>③</t>
  </si>
  <si>
    <t>割合</t>
  </si>
  <si>
    <t>⑦</t>
  </si>
  <si>
    <t>市分 ｛(①－2,000)×③×0.6)｝</t>
  </si>
  <si>
    <t>県分 ｛(①－2,000)×③×0.4)｝</t>
  </si>
  <si>
    <t>市分（④ or ⑥の少ない方）</t>
  </si>
  <si>
    <t>県分（⑤ or ⑦の少ない方）</t>
  </si>
  <si>
    <t>注意コメント</t>
  </si>
  <si>
    <t>http://www.city.takasaki.gunma.jp/docs/2014011601697/</t>
  </si>
  <si>
    <t>市分（市民税所得割×20％）</t>
  </si>
  <si>
    <t>県分（県民税所得割×20％）</t>
  </si>
  <si>
    <t>セルフメディテーション税制</t>
  </si>
  <si>
    <t>※一方のみ
適用可</t>
  </si>
  <si>
    <r>
      <rPr>
        <sz val="11"/>
        <color indexed="10"/>
        <rFont val="メイリオ"/>
        <family val="3"/>
      </rPr>
      <t>※</t>
    </r>
    <r>
      <rPr>
        <sz val="11"/>
        <color indexed="8"/>
        <rFont val="メイリオ"/>
        <family val="3"/>
      </rPr>
      <t>医   療    費    控   除</t>
    </r>
  </si>
  <si>
    <t>医薬品購入費</t>
  </si>
  <si>
    <t>（２）</t>
  </si>
  <si>
    <t>（３）</t>
  </si>
  <si>
    <t>（４）</t>
  </si>
  <si>
    <t>※</t>
  </si>
  <si>
    <t>寄付金税額控除⑦</t>
  </si>
  <si>
    <t>上限額</t>
  </si>
  <si>
    <r>
      <rPr>
        <sz val="9"/>
        <color indexed="10"/>
        <rFont val="メイリオ"/>
        <family val="3"/>
      </rPr>
      <t>※</t>
    </r>
    <r>
      <rPr>
        <sz val="9"/>
        <color indexed="8"/>
        <rFont val="メイリオ"/>
        <family val="3"/>
      </rPr>
      <t>セルフメディケーション税制
（医療費控除の特例）</t>
    </r>
  </si>
  <si>
    <t>補填される金額</t>
  </si>
  <si>
    <t>【 昭29.1.2生 ～ 】：65歳未満</t>
  </si>
  <si>
    <t>【 ～ 昭29.1.1生 】：65歳以上</t>
  </si>
  <si>
    <t>配偶者特別控除（Ａ＝「本人の合計所得金額」とする。）</t>
  </si>
  <si>
    <t>所得控除
(900万＜Ａ≦950万)</t>
  </si>
  <si>
    <t>所得控除
(950&lt;Ａ≦1000万)</t>
  </si>
  <si>
    <t>所得 ≦ 1,100,000</t>
  </si>
  <si>
    <t>1,100,000 ＜ 所得</t>
  </si>
  <si>
    <t>所得控除</t>
  </si>
  <si>
    <t>控特</t>
  </si>
  <si>
    <t>上記の内、同居している特別障害者</t>
  </si>
  <si>
    <t>Ⅴ．控除合計額（ワンストップ特例適用）</t>
  </si>
  <si>
    <t>Ⅳ．申告特例控除分</t>
  </si>
  <si>
    <t>市分</t>
  </si>
  <si>
    <t>県分</t>
  </si>
  <si>
    <t>ワンストップ特例の適用の有無</t>
  </si>
  <si>
    <t>有</t>
  </si>
  <si>
    <t>Ⅵ．適用される控除額（ⅢorⅤ）</t>
  </si>
  <si>
    <r>
      <t xml:space="preserve">   寄</t>
    </r>
    <r>
      <rPr>
        <sz val="3"/>
        <color indexed="8"/>
        <rFont val="メイリオ"/>
        <family val="3"/>
      </rPr>
      <t xml:space="preserve">  </t>
    </r>
    <r>
      <rPr>
        <sz val="11"/>
        <color indexed="8"/>
        <rFont val="メイリオ"/>
        <family val="3"/>
      </rPr>
      <t>附</t>
    </r>
    <r>
      <rPr>
        <sz val="3"/>
        <color indexed="8"/>
        <rFont val="メイリオ"/>
        <family val="3"/>
      </rPr>
      <t xml:space="preserve">  </t>
    </r>
    <r>
      <rPr>
        <sz val="11"/>
        <color indexed="8"/>
        <rFont val="メイリオ"/>
        <family val="3"/>
      </rPr>
      <t>金</t>
    </r>
    <r>
      <rPr>
        <sz val="3"/>
        <color indexed="8"/>
        <rFont val="メイリオ"/>
        <family val="3"/>
      </rPr>
      <t xml:space="preserve">  </t>
    </r>
    <r>
      <rPr>
        <sz val="11"/>
        <color indexed="8"/>
        <rFont val="メイリオ"/>
        <family val="3"/>
      </rPr>
      <t>税</t>
    </r>
    <r>
      <rPr>
        <sz val="3"/>
        <color indexed="8"/>
        <rFont val="メイリオ"/>
        <family val="3"/>
      </rPr>
      <t xml:space="preserve">  </t>
    </r>
    <r>
      <rPr>
        <sz val="11"/>
        <color indexed="8"/>
        <rFont val="メイリオ"/>
        <family val="3"/>
      </rPr>
      <t>額</t>
    </r>
    <r>
      <rPr>
        <sz val="3"/>
        <color indexed="8"/>
        <rFont val="メイリオ"/>
        <family val="3"/>
      </rPr>
      <t xml:space="preserve">  </t>
    </r>
    <r>
      <rPr>
        <sz val="11"/>
        <color indexed="8"/>
        <rFont val="メイリオ"/>
        <family val="3"/>
      </rPr>
      <t>控</t>
    </r>
    <r>
      <rPr>
        <sz val="3"/>
        <color indexed="8"/>
        <rFont val="メイリオ"/>
        <family val="3"/>
      </rPr>
      <t xml:space="preserve">  </t>
    </r>
    <r>
      <rPr>
        <sz val="11"/>
        <color indexed="8"/>
        <rFont val="メイリオ"/>
        <family val="3"/>
      </rPr>
      <t>除</t>
    </r>
  </si>
  <si>
    <t>※Ｈ31年度変更</t>
  </si>
  <si>
    <t>※Ｈ31年度変更</t>
  </si>
  <si>
    <t>所得控除
(Ａ≦900万)</t>
  </si>
  <si>
    <t>同配</t>
  </si>
  <si>
    <t>同 一 生 計 配 偶 者</t>
  </si>
  <si>
    <t>市分（基本分＋特例分＋申告特例分）</t>
  </si>
  <si>
    <t>県分（基本分＋特例分＋申告特例分）</t>
  </si>
  <si>
    <t>③ or 2,500円の大きい方</t>
  </si>
  <si>
    <t>① or ②の小さい方×5%</t>
  </si>
  <si>
    <t>未成年</t>
  </si>
  <si>
    <t>※2</t>
  </si>
  <si>
    <r>
      <t xml:space="preserve"> 高崎市条例指定先団体</t>
    </r>
    <r>
      <rPr>
        <sz val="8"/>
        <color indexed="10"/>
        <rFont val="メイリオ"/>
        <family val="3"/>
      </rPr>
      <t>※2</t>
    </r>
    <r>
      <rPr>
        <sz val="11"/>
        <color indexed="8"/>
        <rFont val="メイリオ"/>
        <family val="3"/>
      </rPr>
      <t>・群馬県共同募金会・日本赤十字社群馬県支部への寄附</t>
    </r>
  </si>
  <si>
    <r>
      <t>ふ  る  さ  と  納  税 （ 自  治  体  へ  の  寄  附 ）</t>
    </r>
    <r>
      <rPr>
        <sz val="8"/>
        <color indexed="10"/>
        <rFont val="メイリオ"/>
        <family val="3"/>
      </rPr>
      <t>※1</t>
    </r>
  </si>
  <si>
    <t>このシートで算出された税額はあくまで試算額となりますので、その他の要件によって実際の税額と異なる場合があります。</t>
  </si>
  <si>
    <r>
      <t>このシートでは、</t>
    </r>
    <r>
      <rPr>
        <b/>
        <u val="single"/>
        <sz val="11"/>
        <color indexed="10"/>
        <rFont val="メイリオ"/>
        <family val="3"/>
      </rPr>
      <t>分離課税の対象となる所得（配当，株式譲渡，土地譲渡等）のある方、住宅ローン控除や配当控除等の</t>
    </r>
  </si>
  <si>
    <r>
      <rPr>
        <b/>
        <u val="single"/>
        <sz val="11"/>
        <color indexed="10"/>
        <rFont val="メイリオ"/>
        <family val="3"/>
      </rPr>
      <t>税額控除を受ける方、及び繰越損失を申告される方</t>
    </r>
    <r>
      <rPr>
        <sz val="11"/>
        <color indexed="8"/>
        <rFont val="メイリオ"/>
        <family val="3"/>
      </rPr>
      <t>は試算できません。</t>
    </r>
  </si>
  <si>
    <t>１及び２の内容を基に算出される、ふるさと納税で最大控除額を受けるための寄付金額の目安は以下のとおりです。</t>
  </si>
  <si>
    <t>（端数計算により前後しますので、目安としてください。）</t>
  </si>
  <si>
    <t>最大控除を受けるための寄付金額</t>
  </si>
  <si>
    <t>【 令和2年度（平成31年分所得）用 】</t>
  </si>
  <si>
    <t>未    成    年 （婚姻歴のない者）【  平12.1.3生 ～  】</t>
  </si>
  <si>
    <t>【 昭25.1.2生 ～ 】：70歳未満</t>
  </si>
  <si>
    <t>【 ～ 昭25.1.1生 】：70歳以上</t>
  </si>
  <si>
    <t>【 平16.1.2生 ～                】</t>
  </si>
  <si>
    <t>【 平13.1.2 ～ 平16.1.1生 又は 
     昭25.1.2  ～  平9.1.1生  】</t>
  </si>
  <si>
    <t>【  平9.1.2   ～  平13.1.1生  】</t>
  </si>
  <si>
    <t>【               ～  昭25.1.1生 】</t>
  </si>
  <si>
    <t>令和2年度個人市民税・県民税の試算結果について</t>
  </si>
  <si>
    <t>このシートは令和2年度市民税・県民税の試算をすることができます。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</si>
</sst>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_ ;[Red]\-#,##0.00\ "/>
    <numFmt numFmtId="185" formatCode="#,##0.00000000000_ ;[Red]\-#,##0.00000000000\ "/>
    <numFmt numFmtId="186" formatCode="#,##0.0000000000_ ;[Red]\-#,##0.0000000000\ "/>
    <numFmt numFmtId="187" formatCode="#,##0.000000000_ ;[Red]\-#,##0.000000000\ "/>
    <numFmt numFmtId="188" formatCode="#,##0.00000000_ ;[Red]\-#,##0.00000000\ "/>
    <numFmt numFmtId="189" formatCode="#,##0.0000000_ ;[Red]\-#,##0.0000000\ "/>
    <numFmt numFmtId="190" formatCode="#,##0.000000_ ;[Red]\-#,##0.000000\ "/>
    <numFmt numFmtId="191" formatCode="#,##0.00000_ ;[Red]\-#,##0.00000\ "/>
    <numFmt numFmtId="192" formatCode="#,##0.0000_ ;[Red]\-#,##0.0000\ "/>
    <numFmt numFmtId="193" formatCode="#,##0.000_ ;[Red]\-#,##0.000\ "/>
    <numFmt numFmtId="194" formatCode="#,##0.0_ ;[Red]\-#,##0.0\ "/>
    <numFmt numFmtId="195" formatCode="#,##0_ ;[Red]\-#,##0\ "/>
    <numFmt numFmtId="196" formatCode="#,##0_);[Red]\(#,##0\)"/>
  </numFmts>
  <fonts count="84">
    <font>
      <sz val="11"/>
      <color theme="1"/>
      <name val="Calibri"/>
      <family val="3"/>
    </font>
    <font>
      <sz val="11"/>
      <color indexed="8"/>
      <name val="ＭＳ Ｐゴシック"/>
      <family val="3"/>
    </font>
    <font>
      <sz val="6"/>
      <name val="ＭＳ Ｐゴシック"/>
      <family val="3"/>
    </font>
    <font>
      <sz val="11"/>
      <color indexed="10"/>
      <name val="メイリオ"/>
      <family val="3"/>
    </font>
    <font>
      <sz val="11"/>
      <color indexed="12"/>
      <name val="メイリオ"/>
      <family val="3"/>
    </font>
    <font>
      <sz val="11"/>
      <color indexed="8"/>
      <name val="メイリオ"/>
      <family val="3"/>
    </font>
    <font>
      <sz val="3"/>
      <color indexed="8"/>
      <name val="メイリオ"/>
      <family val="3"/>
    </font>
    <font>
      <sz val="11"/>
      <name val="メイリオ"/>
      <family val="3"/>
    </font>
    <font>
      <b/>
      <sz val="14"/>
      <color indexed="8"/>
      <name val="メイリオ"/>
      <family val="3"/>
    </font>
    <font>
      <b/>
      <sz val="9"/>
      <color indexed="39"/>
      <name val="ＭＳ Ｐゴシック"/>
      <family val="3"/>
    </font>
    <font>
      <b/>
      <sz val="9"/>
      <color indexed="10"/>
      <name val="ＭＳ Ｐゴシック"/>
      <family val="3"/>
    </font>
    <font>
      <sz val="8"/>
      <color indexed="10"/>
      <name val="メイリオ"/>
      <family val="3"/>
    </font>
    <font>
      <b/>
      <u val="single"/>
      <sz val="11"/>
      <color indexed="10"/>
      <name val="メイリオ"/>
      <family val="3"/>
    </font>
    <font>
      <sz val="9"/>
      <color indexed="10"/>
      <name val="メイリオ"/>
      <family val="3"/>
    </font>
    <font>
      <sz val="9"/>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b/>
      <sz val="11"/>
      <color indexed="10"/>
      <name val="メイリオ"/>
      <family val="3"/>
    </font>
    <font>
      <b/>
      <sz val="12"/>
      <color indexed="10"/>
      <name val="メイリオ"/>
      <family val="3"/>
    </font>
    <font>
      <b/>
      <sz val="11"/>
      <color indexed="8"/>
      <name val="メイリオ"/>
      <family val="3"/>
    </font>
    <font>
      <sz val="12"/>
      <color indexed="10"/>
      <name val="メイリオ"/>
      <family val="3"/>
    </font>
    <font>
      <sz val="10"/>
      <color indexed="8"/>
      <name val="メイリオ"/>
      <family val="3"/>
    </font>
    <font>
      <b/>
      <sz val="10"/>
      <color indexed="10"/>
      <name val="メイリオ"/>
      <family val="3"/>
    </font>
    <font>
      <b/>
      <sz val="11"/>
      <color indexed="40"/>
      <name val="メイリオ"/>
      <family val="3"/>
    </font>
    <font>
      <u val="single"/>
      <sz val="10"/>
      <color indexed="12"/>
      <name val="ＭＳ Ｐゴシック"/>
      <family val="3"/>
    </font>
    <font>
      <b/>
      <sz val="8"/>
      <color indexed="10"/>
      <name val="メイリオ"/>
      <family val="3"/>
    </font>
    <font>
      <b/>
      <sz val="18"/>
      <color indexed="8"/>
      <name val="メイリオ"/>
      <family val="3"/>
    </font>
    <font>
      <b/>
      <sz val="16"/>
      <color indexed="8"/>
      <name val="メイリオ"/>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メイリオ"/>
      <family val="3"/>
    </font>
    <font>
      <sz val="12"/>
      <color theme="1"/>
      <name val="メイリオ"/>
      <family val="3"/>
    </font>
    <font>
      <sz val="9"/>
      <color rgb="FFFF0000"/>
      <name val="メイリオ"/>
      <family val="3"/>
    </font>
    <font>
      <sz val="11"/>
      <color rgb="FF0000FF"/>
      <name val="メイリオ"/>
      <family val="3"/>
    </font>
    <font>
      <sz val="11"/>
      <color rgb="FFFF0000"/>
      <name val="メイリオ"/>
      <family val="3"/>
    </font>
    <font>
      <b/>
      <sz val="14"/>
      <color theme="1"/>
      <name val="メイリオ"/>
      <family val="3"/>
    </font>
    <font>
      <b/>
      <sz val="11"/>
      <color rgb="FFFF0000"/>
      <name val="メイリオ"/>
      <family val="3"/>
    </font>
    <font>
      <b/>
      <sz val="12"/>
      <color rgb="FFFF0000"/>
      <name val="メイリオ"/>
      <family val="3"/>
    </font>
    <font>
      <b/>
      <sz val="11"/>
      <color theme="1"/>
      <name val="メイリオ"/>
      <family val="3"/>
    </font>
    <font>
      <sz val="12"/>
      <color rgb="FFFF0000"/>
      <name val="メイリオ"/>
      <family val="3"/>
    </font>
    <font>
      <sz val="9"/>
      <color theme="1"/>
      <name val="メイリオ"/>
      <family val="3"/>
    </font>
    <font>
      <sz val="10"/>
      <color theme="1"/>
      <name val="メイリオ"/>
      <family val="3"/>
    </font>
    <font>
      <b/>
      <u val="single"/>
      <sz val="11"/>
      <color rgb="FFFF0000"/>
      <name val="メイリオ"/>
      <family val="3"/>
    </font>
    <font>
      <b/>
      <sz val="10"/>
      <color rgb="FFFF0000"/>
      <name val="メイリオ"/>
      <family val="3"/>
    </font>
    <font>
      <b/>
      <sz val="11"/>
      <color rgb="FF00B0F0"/>
      <name val="メイリオ"/>
      <family val="3"/>
    </font>
    <font>
      <u val="single"/>
      <sz val="10"/>
      <color theme="10"/>
      <name val="Calibri"/>
      <family val="3"/>
    </font>
    <font>
      <b/>
      <sz val="18"/>
      <color theme="1"/>
      <name val="メイリオ"/>
      <family val="3"/>
    </font>
    <font>
      <b/>
      <sz val="16"/>
      <color theme="1"/>
      <name val="メイリオ"/>
      <family val="3"/>
    </font>
    <font>
      <b/>
      <sz val="8"/>
      <color rgb="FFFF0000"/>
      <name val="メイリオ"/>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CFF"/>
        <bgColor indexed="64"/>
      </patternFill>
    </fill>
    <fill>
      <patternFill patternType="solid">
        <fgColor theme="0" tint="-0.04997999966144562"/>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color indexed="63"/>
      </top>
      <bottom style="hair"/>
    </border>
    <border>
      <left>
        <color indexed="63"/>
      </left>
      <right style="thin"/>
      <top>
        <color indexed="63"/>
      </top>
      <bottom style="medium"/>
    </border>
    <border>
      <left style="medium"/>
      <right>
        <color indexed="63"/>
      </right>
      <top>
        <color indexed="63"/>
      </top>
      <bottom style="dotted"/>
    </border>
    <border>
      <left>
        <color indexed="63"/>
      </left>
      <right>
        <color indexed="63"/>
      </right>
      <top>
        <color indexed="63"/>
      </top>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dotted"/>
    </border>
    <border>
      <left>
        <color indexed="63"/>
      </left>
      <right>
        <color indexed="63"/>
      </right>
      <top style="dotted"/>
      <bottom style="medium"/>
    </border>
    <border>
      <left style="medium"/>
      <right>
        <color indexed="63"/>
      </right>
      <top style="dotted"/>
      <bottom style="medium"/>
    </border>
    <border>
      <left>
        <color indexed="63"/>
      </left>
      <right style="medium"/>
      <top style="dotted"/>
      <bottom style="medium"/>
    </border>
    <border>
      <left>
        <color indexed="63"/>
      </left>
      <right>
        <color indexed="63"/>
      </right>
      <top style="thin"/>
      <bottom>
        <color indexed="63"/>
      </bottom>
    </border>
    <border>
      <left style="thin"/>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medium"/>
      <bottom style="medium"/>
    </border>
    <border>
      <left style="medium"/>
      <right>
        <color indexed="63"/>
      </right>
      <top style="dotted"/>
      <bottom>
        <color indexed="63"/>
      </bottom>
    </border>
    <border>
      <left style="medium"/>
      <right>
        <color indexed="63"/>
      </right>
      <top style="thin"/>
      <bottom style="dotted"/>
    </border>
    <border>
      <left style="medium"/>
      <right>
        <color indexed="63"/>
      </right>
      <top style="dotted"/>
      <bottom style="thin"/>
    </border>
    <border>
      <left style="medium"/>
      <right>
        <color indexed="63"/>
      </right>
      <top>
        <color indexed="63"/>
      </top>
      <bottom style="thin"/>
    </border>
    <border>
      <left style="medium"/>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style="thin"/>
    </border>
    <border>
      <left>
        <color indexed="63"/>
      </left>
      <right style="medium"/>
      <top style="double"/>
      <bottom style="thin"/>
    </border>
    <border>
      <left>
        <color indexed="63"/>
      </left>
      <right style="thin"/>
      <top style="dotted"/>
      <bottom style="dotted"/>
    </border>
    <border>
      <left>
        <color indexed="63"/>
      </left>
      <right style="medium"/>
      <top>
        <color indexed="63"/>
      </top>
      <bottom style="thin"/>
    </border>
    <border>
      <left>
        <color indexed="63"/>
      </left>
      <right style="thin"/>
      <top style="thin"/>
      <bottom style="thin"/>
    </border>
    <border>
      <left>
        <color indexed="63"/>
      </left>
      <right style="thin"/>
      <top style="thin"/>
      <bottom style="double"/>
    </border>
    <border>
      <left>
        <color indexed="63"/>
      </left>
      <right style="medium"/>
      <top style="thin"/>
      <bottom style="double"/>
    </border>
    <border>
      <left>
        <color indexed="63"/>
      </left>
      <right style="thin"/>
      <top style="double"/>
      <bottom>
        <color indexed="63"/>
      </bottom>
    </border>
    <border>
      <left style="thin"/>
      <right style="thin"/>
      <top style="thin"/>
      <bottom style="thin"/>
    </border>
    <border>
      <left>
        <color indexed="63"/>
      </left>
      <right style="medium"/>
      <top style="thin"/>
      <bottom>
        <color indexed="63"/>
      </bottom>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color indexed="63"/>
      </left>
      <right style="thin"/>
      <top style="hair"/>
      <bottom style="thin"/>
    </border>
    <border>
      <left>
        <color indexed="63"/>
      </left>
      <right>
        <color indexed="63"/>
      </right>
      <top style="double"/>
      <bottom style="thin"/>
    </border>
    <border>
      <left>
        <color indexed="63"/>
      </left>
      <right>
        <color indexed="63"/>
      </right>
      <top style="thin"/>
      <bottom style="dotted"/>
    </border>
    <border>
      <left>
        <color indexed="63"/>
      </left>
      <right style="thin"/>
      <top style="thin"/>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dotted"/>
      <bottom style="medium"/>
    </border>
    <border>
      <left>
        <color indexed="63"/>
      </left>
      <right>
        <color indexed="63"/>
      </right>
      <top style="medium"/>
      <bottom style="double"/>
    </border>
    <border>
      <left>
        <color indexed="63"/>
      </left>
      <right style="medium"/>
      <top style="medium"/>
      <bottom style="double"/>
    </border>
    <border>
      <left>
        <color indexed="63"/>
      </left>
      <right style="thin"/>
      <top style="double"/>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uble"/>
    </border>
    <border>
      <left>
        <color indexed="63"/>
      </left>
      <right style="thin"/>
      <top style="dotted"/>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double"/>
      <bottom style="thin"/>
    </border>
    <border>
      <left style="thin"/>
      <right>
        <color indexed="63"/>
      </right>
      <top style="thin"/>
      <bottom style="thin"/>
    </border>
    <border>
      <left style="medium"/>
      <right>
        <color indexed="63"/>
      </right>
      <top style="thin"/>
      <bottom style="medium"/>
    </border>
    <border>
      <left style="medium"/>
      <right>
        <color indexed="63"/>
      </right>
      <top style="dotted"/>
      <bottom style="double"/>
    </border>
    <border>
      <left style="medium"/>
      <right>
        <color indexed="63"/>
      </right>
      <top style="medium"/>
      <bottom style="double"/>
    </border>
    <border>
      <left style="thin"/>
      <right>
        <color indexed="63"/>
      </right>
      <top style="thin"/>
      <bottom style="dotted"/>
    </border>
    <border>
      <left style="thin"/>
      <right>
        <color indexed="63"/>
      </right>
      <top style="dotted"/>
      <bottom style="medium"/>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medium"/>
    </border>
    <border>
      <left>
        <color indexed="63"/>
      </left>
      <right style="medium"/>
      <top style="thin"/>
      <bottom style="medium"/>
    </border>
    <border>
      <left>
        <color indexed="63"/>
      </left>
      <right style="medium"/>
      <top style="thin"/>
      <bottom style="dotted"/>
    </border>
    <border>
      <left style="thin"/>
      <right>
        <color indexed="63"/>
      </right>
      <top style="dotted"/>
      <bottom style="double"/>
    </border>
    <border>
      <left>
        <color indexed="63"/>
      </left>
      <right style="medium"/>
      <top style="dotted"/>
      <bottom style="double"/>
    </border>
    <border>
      <left style="thin"/>
      <right>
        <color indexed="63"/>
      </right>
      <top style="thin"/>
      <bottom style="double"/>
    </border>
    <border>
      <left>
        <color indexed="63"/>
      </left>
      <right>
        <color indexed="63"/>
      </right>
      <top style="thin"/>
      <bottom style="double"/>
    </border>
    <border>
      <left style="thin"/>
      <right>
        <color indexed="63"/>
      </right>
      <top style="dotted"/>
      <bottom style="dotted"/>
    </border>
    <border>
      <left>
        <color indexed="63"/>
      </left>
      <right style="medium"/>
      <top style="dotted"/>
      <bottom style="thin"/>
    </border>
    <border>
      <left style="thin"/>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dotted"/>
    </border>
    <border>
      <left>
        <color indexed="63"/>
      </left>
      <right style="medium"/>
      <top>
        <color indexed="63"/>
      </top>
      <bottom style="dotted"/>
    </border>
    <border>
      <left style="thin"/>
      <right>
        <color indexed="63"/>
      </right>
      <top style="medium"/>
      <bottom style="medium"/>
    </border>
    <border>
      <left>
        <color indexed="63"/>
      </left>
      <right>
        <color indexed="63"/>
      </right>
      <top style="dotted"/>
      <bottom>
        <color indexed="63"/>
      </bottom>
    </border>
    <border>
      <left>
        <color indexed="63"/>
      </left>
      <right style="thin"/>
      <top style="dotted"/>
      <bottom>
        <color indexed="63"/>
      </bottom>
    </border>
    <border>
      <left style="medium"/>
      <right style="thin"/>
      <top>
        <color indexed="63"/>
      </top>
      <bottom style="thin"/>
    </border>
    <border>
      <left style="medium"/>
      <right style="thin"/>
      <top style="thin"/>
      <bottom style="thin"/>
    </border>
    <border>
      <left style="hair"/>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style="hair"/>
      <right>
        <color indexed="63"/>
      </right>
      <top style="hair"/>
      <bottom style="medium"/>
    </border>
    <border>
      <left>
        <color indexed="63"/>
      </left>
      <right>
        <color indexed="63"/>
      </right>
      <top style="hair"/>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double"/>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style="medium"/>
      <right>
        <color indexed="63"/>
      </right>
      <top style="thin"/>
      <bottom style="double"/>
    </border>
    <border diagonalDown="1">
      <left style="thin"/>
      <right>
        <color indexed="63"/>
      </right>
      <top style="double"/>
      <bottom style="thin"/>
      <diagonal style="thin"/>
    </border>
    <border diagonalDown="1">
      <left>
        <color indexed="63"/>
      </left>
      <right>
        <color indexed="63"/>
      </right>
      <top style="double"/>
      <bottom style="thin"/>
      <diagonal style="thin"/>
    </border>
    <border diagonalDown="1">
      <left>
        <color indexed="63"/>
      </left>
      <right style="thin"/>
      <top style="double"/>
      <bottom style="thin"/>
      <diagonal style="thin"/>
    </border>
    <border>
      <left>
        <color indexed="63"/>
      </left>
      <right style="medium"/>
      <top style="medium"/>
      <bottom>
        <color indexed="63"/>
      </bottom>
    </border>
    <border>
      <left>
        <color indexed="63"/>
      </left>
      <right style="medium"/>
      <top>
        <color indexed="63"/>
      </top>
      <bottom style="double"/>
    </border>
    <border>
      <left style="medium"/>
      <right style="thin"/>
      <top>
        <color indexed="63"/>
      </top>
      <bottom>
        <color indexed="63"/>
      </bottom>
    </border>
    <border>
      <left style="thin"/>
      <right style="thin"/>
      <top style="thin"/>
      <bottom style="dotted"/>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style="dotted"/>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style="medium"/>
      <right style="thin"/>
      <top style="thin"/>
      <bottom style="dotted"/>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medium"/>
      <right style="thin"/>
      <top style="thin"/>
      <bottom style="medium"/>
    </border>
    <border>
      <left style="thin"/>
      <right>
        <color indexed="63"/>
      </right>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thin"/>
      <right style="dashed"/>
      <top style="thin"/>
      <bottom style="thin"/>
    </border>
    <border>
      <left style="dashed"/>
      <right style="dashed"/>
      <top style="thin"/>
      <bottom style="thin"/>
    </border>
    <border>
      <left style="dashed"/>
      <right>
        <color indexed="63"/>
      </right>
      <top style="thin"/>
      <bottom style="thin"/>
    </border>
    <border>
      <left>
        <color indexed="63"/>
      </left>
      <right style="thin"/>
      <top style="medium"/>
      <bottom style="medium"/>
    </border>
    <border diagonalDown="1">
      <left>
        <color indexed="63"/>
      </left>
      <right style="medium"/>
      <top style="thin"/>
      <bottom style="thin"/>
      <diagonal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hair"/>
      <bottom style="hair"/>
    </border>
    <border>
      <left style="thin"/>
      <right>
        <color indexed="63"/>
      </right>
      <top style="hair"/>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double"/>
      <bottom style="dotted"/>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691">
    <xf numFmtId="0" fontId="0" fillId="0" borderId="0" xfId="0" applyFont="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64" fillId="0" borderId="10" xfId="0" applyFont="1" applyBorder="1" applyAlignment="1">
      <alignment horizontal="center"/>
    </xf>
    <xf numFmtId="0" fontId="64" fillId="0" borderId="0" xfId="0" applyFont="1" applyAlignment="1">
      <alignment horizontal="center"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15" xfId="0" applyFont="1" applyBorder="1" applyAlignment="1">
      <alignment vertical="center"/>
    </xf>
    <xf numFmtId="0" fontId="64" fillId="0" borderId="16" xfId="0" applyFont="1" applyBorder="1" applyAlignment="1">
      <alignment horizontal="center"/>
    </xf>
    <xf numFmtId="0" fontId="64" fillId="0" borderId="17" xfId="0" applyFont="1" applyBorder="1" applyAlignment="1">
      <alignment horizontal="center"/>
    </xf>
    <xf numFmtId="0" fontId="64" fillId="0" borderId="18" xfId="0" applyFont="1" applyBorder="1" applyAlignment="1">
      <alignment horizontal="center"/>
    </xf>
    <xf numFmtId="0" fontId="64" fillId="0" borderId="19" xfId="0" applyFont="1" applyBorder="1" applyAlignment="1">
      <alignment horizontal="center"/>
    </xf>
    <xf numFmtId="0" fontId="64" fillId="0" borderId="20" xfId="0" applyFont="1" applyBorder="1" applyAlignment="1">
      <alignment horizontal="center"/>
    </xf>
    <xf numFmtId="0" fontId="64" fillId="0" borderId="21" xfId="0" applyFont="1" applyBorder="1" applyAlignment="1">
      <alignment horizontal="center"/>
    </xf>
    <xf numFmtId="0" fontId="64" fillId="0" borderId="22" xfId="0" applyFont="1" applyBorder="1" applyAlignment="1">
      <alignment horizontal="center"/>
    </xf>
    <xf numFmtId="0" fontId="64" fillId="0" borderId="23" xfId="0" applyFont="1" applyBorder="1" applyAlignment="1">
      <alignment vertical="center"/>
    </xf>
    <xf numFmtId="0" fontId="64" fillId="0" borderId="24" xfId="0" applyFont="1" applyBorder="1" applyAlignment="1">
      <alignment vertical="center"/>
    </xf>
    <xf numFmtId="0" fontId="64" fillId="0" borderId="25" xfId="0" applyFont="1" applyBorder="1" applyAlignment="1">
      <alignment vertical="center"/>
    </xf>
    <xf numFmtId="0" fontId="64" fillId="0" borderId="26" xfId="0" applyFont="1" applyBorder="1" applyAlignment="1">
      <alignment vertical="center"/>
    </xf>
    <xf numFmtId="0" fontId="64" fillId="0" borderId="27" xfId="0" applyFont="1" applyBorder="1" applyAlignment="1">
      <alignment horizontal="left" vertical="center"/>
    </xf>
    <xf numFmtId="0" fontId="64" fillId="0" borderId="28" xfId="0" applyFont="1" applyBorder="1" applyAlignment="1">
      <alignment vertical="center"/>
    </xf>
    <xf numFmtId="0" fontId="64" fillId="0" borderId="0" xfId="0" applyFont="1" applyBorder="1" applyAlignment="1">
      <alignment horizontal="left" vertical="center"/>
    </xf>
    <xf numFmtId="0" fontId="64" fillId="0" borderId="29" xfId="0" applyFont="1" applyBorder="1" applyAlignment="1">
      <alignment horizontal="left" vertical="center"/>
    </xf>
    <xf numFmtId="0" fontId="64" fillId="0" borderId="30" xfId="0" applyFont="1" applyBorder="1" applyAlignment="1">
      <alignment vertical="center"/>
    </xf>
    <xf numFmtId="0" fontId="64" fillId="0" borderId="31" xfId="0" applyFont="1" applyBorder="1" applyAlignment="1">
      <alignment horizontal="center"/>
    </xf>
    <xf numFmtId="0" fontId="65" fillId="0" borderId="32" xfId="0" applyFont="1" applyBorder="1" applyAlignment="1">
      <alignment vertical="center"/>
    </xf>
    <xf numFmtId="0" fontId="64" fillId="0" borderId="33" xfId="0" applyFont="1" applyBorder="1" applyAlignment="1">
      <alignment horizontal="center"/>
    </xf>
    <xf numFmtId="0" fontId="64" fillId="0" borderId="34" xfId="0" applyFont="1" applyBorder="1" applyAlignment="1">
      <alignment horizontal="center"/>
    </xf>
    <xf numFmtId="0" fontId="64" fillId="0" borderId="23" xfId="0" applyFont="1" applyBorder="1" applyAlignment="1">
      <alignment horizontal="left" vertical="center"/>
    </xf>
    <xf numFmtId="0" fontId="64" fillId="0" borderId="0" xfId="0" applyFont="1" applyBorder="1" applyAlignment="1">
      <alignment horizontal="center" vertical="center"/>
    </xf>
    <xf numFmtId="0" fontId="64" fillId="0" borderId="35" xfId="0" applyFont="1" applyBorder="1" applyAlignment="1">
      <alignment horizontal="center"/>
    </xf>
    <xf numFmtId="38" fontId="65" fillId="0" borderId="0" xfId="49" applyFont="1" applyFill="1" applyBorder="1" applyAlignment="1">
      <alignment vertical="center"/>
    </xf>
    <xf numFmtId="0" fontId="64" fillId="0" borderId="0" xfId="0" applyFont="1" applyBorder="1" applyAlignment="1">
      <alignment horizontal="center"/>
    </xf>
    <xf numFmtId="38" fontId="65" fillId="0" borderId="0" xfId="49" applyFont="1" applyFill="1" applyBorder="1" applyAlignment="1">
      <alignment horizontal="right" vertical="center"/>
    </xf>
    <xf numFmtId="0" fontId="64" fillId="0" borderId="0" xfId="0" applyFont="1" applyFill="1" applyAlignment="1">
      <alignment vertical="center"/>
    </xf>
    <xf numFmtId="0" fontId="64" fillId="0" borderId="11" xfId="0" applyFont="1" applyBorder="1" applyAlignment="1">
      <alignment horizontal="center" vertical="center"/>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64" fillId="0" borderId="27" xfId="0" applyFont="1" applyBorder="1" applyAlignment="1">
      <alignment horizontal="center" vertical="center"/>
    </xf>
    <xf numFmtId="38" fontId="64" fillId="0" borderId="0" xfId="49" applyFont="1" applyFill="1" applyBorder="1" applyAlignment="1">
      <alignment vertical="center"/>
    </xf>
    <xf numFmtId="38" fontId="64" fillId="0" borderId="11" xfId="49" applyFont="1" applyFill="1" applyBorder="1" applyAlignment="1">
      <alignment vertical="center"/>
    </xf>
    <xf numFmtId="38" fontId="64" fillId="0" borderId="27" xfId="49" applyFont="1" applyBorder="1" applyAlignment="1">
      <alignment horizontal="center" vertical="center"/>
    </xf>
    <xf numFmtId="38" fontId="64" fillId="0" borderId="38" xfId="49" applyFont="1" applyBorder="1" applyAlignment="1">
      <alignment horizontal="center" vertical="center"/>
    </xf>
    <xf numFmtId="38" fontId="64" fillId="0" borderId="23" xfId="49" applyFont="1" applyBorder="1" applyAlignment="1">
      <alignment horizontal="center" vertical="center"/>
    </xf>
    <xf numFmtId="38" fontId="64" fillId="0" borderId="39" xfId="49" applyFont="1" applyBorder="1" applyAlignment="1">
      <alignment horizontal="center" vertical="center"/>
    </xf>
    <xf numFmtId="0" fontId="64" fillId="0" borderId="37" xfId="0" applyFont="1" applyBorder="1" applyAlignment="1">
      <alignment horizontal="center" vertical="center"/>
    </xf>
    <xf numFmtId="0" fontId="64" fillId="0" borderId="40" xfId="0" applyFont="1" applyBorder="1" applyAlignment="1">
      <alignment horizontal="center" vertical="center"/>
    </xf>
    <xf numFmtId="0" fontId="66" fillId="0" borderId="0" xfId="0" applyFont="1" applyAlignment="1">
      <alignment vertical="center"/>
    </xf>
    <xf numFmtId="0" fontId="64" fillId="0" borderId="11" xfId="0" applyFont="1" applyBorder="1" applyAlignment="1">
      <alignment vertical="center"/>
    </xf>
    <xf numFmtId="0" fontId="64" fillId="0" borderId="0" xfId="0" applyFont="1" applyBorder="1" applyAlignment="1">
      <alignment vertical="center"/>
    </xf>
    <xf numFmtId="0" fontId="64" fillId="0" borderId="13" xfId="0" applyFont="1" applyBorder="1" applyAlignment="1">
      <alignment vertical="center"/>
    </xf>
    <xf numFmtId="0" fontId="64" fillId="0" borderId="14" xfId="0" applyFont="1" applyBorder="1" applyAlignment="1">
      <alignment vertical="center"/>
    </xf>
    <xf numFmtId="0" fontId="64" fillId="0" borderId="41" xfId="0" applyFont="1" applyBorder="1" applyAlignment="1">
      <alignment vertical="center"/>
    </xf>
    <xf numFmtId="0" fontId="64" fillId="0" borderId="42" xfId="0" applyFont="1" applyBorder="1" applyAlignment="1">
      <alignment vertical="center"/>
    </xf>
    <xf numFmtId="0" fontId="64" fillId="0" borderId="43" xfId="0" applyFont="1" applyBorder="1" applyAlignment="1">
      <alignment vertical="center"/>
    </xf>
    <xf numFmtId="0" fontId="67" fillId="0" borderId="11" xfId="0" applyFont="1" applyBorder="1" applyAlignment="1">
      <alignment vertical="center"/>
    </xf>
    <xf numFmtId="0" fontId="64" fillId="0" borderId="44" xfId="0" applyFont="1" applyBorder="1" applyAlignment="1">
      <alignment horizontal="center" vertical="center"/>
    </xf>
    <xf numFmtId="38" fontId="64" fillId="0" borderId="37" xfId="49" applyFont="1" applyBorder="1" applyAlignment="1">
      <alignment horizontal="center" vertical="center"/>
    </xf>
    <xf numFmtId="38" fontId="64" fillId="0" borderId="0" xfId="49" applyFont="1" applyAlignment="1">
      <alignment vertical="center"/>
    </xf>
    <xf numFmtId="0" fontId="68" fillId="0" borderId="0" xfId="0" applyFont="1" applyAlignment="1">
      <alignment vertical="center"/>
    </xf>
    <xf numFmtId="38" fontId="64" fillId="0" borderId="0" xfId="0" applyNumberFormat="1" applyFont="1" applyAlignment="1">
      <alignment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vertical="center" textRotation="255"/>
    </xf>
    <xf numFmtId="49" fontId="64" fillId="0" borderId="0" xfId="0" applyNumberFormat="1" applyFont="1" applyBorder="1" applyAlignment="1">
      <alignment horizontal="left" vertical="center"/>
    </xf>
    <xf numFmtId="38" fontId="65" fillId="0" borderId="0" xfId="49" applyFont="1" applyBorder="1" applyAlignment="1" applyProtection="1">
      <alignment horizontal="center" vertical="center"/>
      <protection/>
    </xf>
    <xf numFmtId="38" fontId="65" fillId="0" borderId="0" xfId="49" applyFont="1" applyBorder="1" applyAlignment="1">
      <alignment horizontal="right" vertical="center"/>
    </xf>
    <xf numFmtId="38" fontId="65" fillId="0" borderId="0" xfId="49" applyFont="1" applyBorder="1" applyAlignment="1">
      <alignment vertical="center"/>
    </xf>
    <xf numFmtId="38" fontId="65" fillId="0" borderId="45" xfId="49" applyFont="1" applyFill="1" applyBorder="1" applyAlignment="1">
      <alignment horizontal="right" vertical="center"/>
    </xf>
    <xf numFmtId="38" fontId="65" fillId="0" borderId="17" xfId="49" applyFont="1" applyFill="1" applyBorder="1" applyAlignment="1">
      <alignment horizontal="right" vertical="center"/>
    </xf>
    <xf numFmtId="38" fontId="65" fillId="0" borderId="46" xfId="49" applyFont="1" applyFill="1" applyBorder="1" applyAlignment="1">
      <alignment vertical="center"/>
    </xf>
    <xf numFmtId="38" fontId="65" fillId="0" borderId="26" xfId="49" applyFont="1" applyFill="1" applyBorder="1" applyAlignment="1">
      <alignment horizontal="right" vertical="center"/>
    </xf>
    <xf numFmtId="38" fontId="65" fillId="0" borderId="10" xfId="49" applyFont="1" applyFill="1" applyBorder="1" applyAlignment="1">
      <alignment vertical="center"/>
    </xf>
    <xf numFmtId="38" fontId="65" fillId="0" borderId="47" xfId="49" applyFont="1" applyFill="1" applyBorder="1" applyAlignment="1">
      <alignment horizontal="right" vertical="center"/>
    </xf>
    <xf numFmtId="38" fontId="65" fillId="0" borderId="48" xfId="49" applyFont="1" applyFill="1" applyBorder="1" applyAlignment="1">
      <alignment vertical="center"/>
    </xf>
    <xf numFmtId="38" fontId="65" fillId="0" borderId="49" xfId="49" applyFont="1" applyFill="1" applyBorder="1" applyAlignment="1">
      <alignment vertical="center"/>
    </xf>
    <xf numFmtId="38" fontId="65" fillId="0" borderId="50" xfId="49" applyFont="1" applyFill="1" applyBorder="1" applyAlignment="1">
      <alignment horizontal="right" vertical="center"/>
    </xf>
    <xf numFmtId="38" fontId="69" fillId="0" borderId="51" xfId="49" applyFont="1" applyFill="1" applyBorder="1" applyAlignment="1">
      <alignment vertical="center"/>
    </xf>
    <xf numFmtId="38" fontId="65" fillId="0" borderId="43" xfId="49" applyFont="1" applyFill="1" applyBorder="1" applyAlignment="1">
      <alignment vertical="center"/>
    </xf>
    <xf numFmtId="38" fontId="69" fillId="0" borderId="22" xfId="49" applyFont="1" applyFill="1" applyBorder="1" applyAlignment="1">
      <alignment vertical="center"/>
    </xf>
    <xf numFmtId="38" fontId="65" fillId="0" borderId="15" xfId="49" applyFont="1" applyFill="1" applyBorder="1" applyAlignment="1">
      <alignment vertical="center"/>
    </xf>
    <xf numFmtId="0" fontId="70" fillId="0" borderId="0" xfId="0" applyFont="1" applyFill="1" applyAlignment="1">
      <alignment vertical="center"/>
    </xf>
    <xf numFmtId="0" fontId="68" fillId="0" borderId="0" xfId="0" applyFont="1" applyFill="1" applyBorder="1" applyAlignment="1">
      <alignment horizontal="center" vertical="center"/>
    </xf>
    <xf numFmtId="0" fontId="68" fillId="0" borderId="0" xfId="0" applyFont="1" applyFill="1" applyAlignment="1">
      <alignment vertical="center"/>
    </xf>
    <xf numFmtId="0" fontId="68" fillId="0" borderId="0" xfId="0" applyFont="1" applyFill="1" applyAlignment="1">
      <alignment horizontal="center" vertical="center"/>
    </xf>
    <xf numFmtId="0" fontId="68" fillId="0" borderId="0" xfId="0" applyFont="1" applyFill="1" applyAlignment="1">
      <alignment horizontal="left" vertical="center"/>
    </xf>
    <xf numFmtId="0" fontId="68" fillId="0" borderId="0" xfId="0" applyFont="1" applyFill="1" applyBorder="1" applyAlignment="1">
      <alignment vertical="center"/>
    </xf>
    <xf numFmtId="38" fontId="64" fillId="0" borderId="0" xfId="0" applyNumberFormat="1" applyFont="1" applyFill="1" applyAlignment="1">
      <alignment vertical="center"/>
    </xf>
    <xf numFmtId="0" fontId="70" fillId="0" borderId="0" xfId="0" applyFont="1" applyAlignment="1">
      <alignment horizontal="center" vertical="center"/>
    </xf>
    <xf numFmtId="0" fontId="71" fillId="0" borderId="12" xfId="0" applyFont="1" applyBorder="1" applyAlignment="1">
      <alignment vertical="center"/>
    </xf>
    <xf numFmtId="0" fontId="70" fillId="0" borderId="0" xfId="0" applyFont="1" applyAlignment="1">
      <alignment vertical="center"/>
    </xf>
    <xf numFmtId="0" fontId="72" fillId="0" borderId="0" xfId="0" applyFont="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70" fillId="0" borderId="0" xfId="0" applyFont="1" applyFill="1" applyBorder="1" applyAlignment="1">
      <alignment vertical="center"/>
    </xf>
    <xf numFmtId="0" fontId="70" fillId="0" borderId="0" xfId="0" applyFont="1" applyFill="1" applyAlignment="1">
      <alignment horizontal="center" vertical="center"/>
    </xf>
    <xf numFmtId="0" fontId="74" fillId="0" borderId="0" xfId="0" applyFont="1" applyAlignment="1">
      <alignment vertical="center"/>
    </xf>
    <xf numFmtId="0" fontId="66" fillId="0" borderId="0" xfId="0" applyFont="1" applyAlignment="1">
      <alignment horizontal="center" vertical="center"/>
    </xf>
    <xf numFmtId="0" fontId="50" fillId="0" borderId="0" xfId="43" applyAlignment="1">
      <alignment vertical="center"/>
    </xf>
    <xf numFmtId="38" fontId="64" fillId="0" borderId="11" xfId="49" applyFont="1" applyBorder="1" applyAlignment="1">
      <alignment horizontal="center" vertical="center"/>
    </xf>
    <xf numFmtId="0" fontId="68" fillId="0" borderId="52" xfId="0" applyFont="1" applyFill="1" applyBorder="1" applyAlignment="1">
      <alignment horizontal="center" vertical="center"/>
    </xf>
    <xf numFmtId="0" fontId="66" fillId="0" borderId="0" xfId="0" applyFont="1" applyBorder="1" applyAlignment="1">
      <alignment vertical="center"/>
    </xf>
    <xf numFmtId="0" fontId="75" fillId="0" borderId="0" xfId="0" applyFont="1" applyBorder="1" applyAlignment="1">
      <alignment vertical="center"/>
    </xf>
    <xf numFmtId="0" fontId="76" fillId="0" borderId="0" xfId="0" applyFont="1" applyAlignment="1">
      <alignment vertical="center"/>
    </xf>
    <xf numFmtId="0" fontId="64" fillId="0" borderId="0" xfId="0" applyFont="1" applyBorder="1" applyAlignment="1">
      <alignment horizontal="center" vertical="center"/>
    </xf>
    <xf numFmtId="0" fontId="64" fillId="0" borderId="10" xfId="0" applyFont="1" applyBorder="1" applyAlignment="1">
      <alignment horizontal="center"/>
    </xf>
    <xf numFmtId="0" fontId="64" fillId="0" borderId="53" xfId="0" applyFont="1" applyBorder="1" applyAlignment="1">
      <alignment horizontal="center"/>
    </xf>
    <xf numFmtId="38" fontId="64" fillId="0" borderId="0" xfId="0" applyNumberFormat="1" applyFont="1" applyFill="1" applyBorder="1" applyAlignment="1">
      <alignment horizontal="right" vertical="center"/>
    </xf>
    <xf numFmtId="0" fontId="64" fillId="0" borderId="0" xfId="0" applyFont="1" applyFill="1" applyBorder="1" applyAlignment="1">
      <alignment horizontal="right" vertical="center"/>
    </xf>
    <xf numFmtId="0" fontId="64" fillId="0" borderId="54" xfId="0" applyFont="1" applyBorder="1" applyAlignment="1">
      <alignment vertical="center"/>
    </xf>
    <xf numFmtId="0" fontId="64" fillId="0" borderId="55" xfId="0" applyFont="1" applyBorder="1" applyAlignment="1">
      <alignment vertical="center"/>
    </xf>
    <xf numFmtId="0" fontId="64" fillId="0" borderId="27" xfId="0" applyFont="1" applyBorder="1" applyAlignment="1">
      <alignment vertical="center"/>
    </xf>
    <xf numFmtId="0" fontId="64" fillId="0" borderId="29" xfId="0" applyFont="1" applyBorder="1" applyAlignment="1">
      <alignment vertical="center"/>
    </xf>
    <xf numFmtId="0" fontId="64" fillId="0" borderId="56" xfId="0" applyFont="1" applyBorder="1" applyAlignment="1">
      <alignment vertical="center"/>
    </xf>
    <xf numFmtId="0" fontId="77" fillId="0" borderId="0" xfId="0" applyFont="1" applyFill="1" applyAlignment="1">
      <alignment horizontal="left" vertical="center" wrapText="1"/>
    </xf>
    <xf numFmtId="0" fontId="71" fillId="0" borderId="0" xfId="0" applyFont="1" applyAlignment="1">
      <alignment horizontal="center" vertical="center"/>
    </xf>
    <xf numFmtId="0" fontId="64" fillId="0" borderId="0" xfId="0" applyFont="1" applyBorder="1" applyAlignment="1">
      <alignment horizontal="center" vertical="center"/>
    </xf>
    <xf numFmtId="0" fontId="64" fillId="0" borderId="57" xfId="0" applyFont="1" applyBorder="1" applyAlignment="1">
      <alignment horizontal="center"/>
    </xf>
    <xf numFmtId="0" fontId="64" fillId="0" borderId="58" xfId="0" applyFont="1" applyBorder="1" applyAlignment="1">
      <alignment horizontal="left" vertical="center"/>
    </xf>
    <xf numFmtId="0" fontId="64" fillId="0" borderId="45" xfId="0" applyFont="1" applyBorder="1" applyAlignment="1">
      <alignment horizontal="left" vertical="center"/>
    </xf>
    <xf numFmtId="0" fontId="64" fillId="0" borderId="59" xfId="0" applyFont="1" applyBorder="1" applyAlignment="1">
      <alignment horizontal="center" vertical="center"/>
    </xf>
    <xf numFmtId="0" fontId="64" fillId="0" borderId="60" xfId="0" applyFont="1" applyBorder="1" applyAlignment="1">
      <alignment horizontal="center" vertical="center"/>
    </xf>
    <xf numFmtId="0" fontId="64" fillId="0" borderId="40" xfId="0" applyFont="1" applyBorder="1" applyAlignment="1">
      <alignment vertical="center"/>
    </xf>
    <xf numFmtId="0" fontId="64" fillId="0" borderId="16" xfId="0" applyFont="1" applyBorder="1" applyAlignment="1">
      <alignment vertical="center"/>
    </xf>
    <xf numFmtId="0" fontId="64" fillId="0" borderId="17" xfId="0" applyFont="1" applyBorder="1" applyAlignment="1">
      <alignment vertical="center"/>
    </xf>
    <xf numFmtId="0" fontId="64" fillId="0" borderId="61" xfId="0" applyFont="1" applyBorder="1" applyAlignment="1">
      <alignment vertical="center"/>
    </xf>
    <xf numFmtId="0" fontId="64" fillId="0" borderId="62" xfId="0" applyFont="1" applyBorder="1" applyAlignment="1">
      <alignment vertical="center"/>
    </xf>
    <xf numFmtId="0" fontId="64" fillId="0" borderId="63" xfId="0" applyFont="1" applyBorder="1" applyAlignment="1">
      <alignment vertical="center"/>
    </xf>
    <xf numFmtId="38" fontId="64" fillId="0" borderId="25" xfId="49" applyFont="1" applyBorder="1" applyAlignment="1">
      <alignment horizontal="left" vertical="center" shrinkToFit="1"/>
    </xf>
    <xf numFmtId="38" fontId="64" fillId="0" borderId="46" xfId="49" applyFont="1" applyBorder="1" applyAlignment="1">
      <alignment horizontal="left" vertical="center" shrinkToFit="1"/>
    </xf>
    <xf numFmtId="0" fontId="64" fillId="0" borderId="25" xfId="0" applyFont="1" applyBorder="1" applyAlignment="1">
      <alignment horizontal="left" vertical="center"/>
    </xf>
    <xf numFmtId="0" fontId="64" fillId="0" borderId="46" xfId="0" applyFont="1" applyBorder="1" applyAlignment="1">
      <alignment horizontal="left" vertical="center"/>
    </xf>
    <xf numFmtId="0" fontId="64" fillId="0" borderId="59" xfId="0" applyFont="1" applyBorder="1" applyAlignment="1">
      <alignment horizontal="center" vertical="center" shrinkToFit="1"/>
    </xf>
    <xf numFmtId="0" fontId="64" fillId="0" borderId="60" xfId="0" applyFont="1" applyBorder="1" applyAlignment="1">
      <alignment horizontal="center" vertical="center" shrinkToFit="1"/>
    </xf>
    <xf numFmtId="0" fontId="64" fillId="0" borderId="28" xfId="0" applyFont="1" applyBorder="1" applyAlignment="1">
      <alignment horizontal="center" vertical="center" shrinkToFit="1"/>
    </xf>
    <xf numFmtId="0" fontId="64" fillId="0" borderId="64" xfId="0" applyFont="1" applyBorder="1" applyAlignment="1">
      <alignment horizontal="center" vertical="center" shrinkToFit="1"/>
    </xf>
    <xf numFmtId="0" fontId="64" fillId="0" borderId="59" xfId="0" applyFont="1" applyBorder="1" applyAlignment="1">
      <alignment vertical="center"/>
    </xf>
    <xf numFmtId="0" fontId="64" fillId="0" borderId="60" xfId="0" applyFont="1" applyBorder="1" applyAlignment="1">
      <alignment vertical="center"/>
    </xf>
    <xf numFmtId="0" fontId="67" fillId="0" borderId="65" xfId="0" applyFont="1" applyBorder="1" applyAlignment="1">
      <alignment horizontal="center" vertical="center"/>
    </xf>
    <xf numFmtId="0" fontId="67" fillId="0" borderId="66" xfId="0" applyFont="1" applyBorder="1" applyAlignment="1">
      <alignment horizontal="center" vertical="center"/>
    </xf>
    <xf numFmtId="0" fontId="64" fillId="0" borderId="58" xfId="0" applyFont="1" applyBorder="1" applyAlignment="1">
      <alignment vertical="center"/>
    </xf>
    <xf numFmtId="0" fontId="64" fillId="0" borderId="67" xfId="0" applyFont="1" applyBorder="1" applyAlignment="1">
      <alignment vertical="center"/>
    </xf>
    <xf numFmtId="0" fontId="64" fillId="0" borderId="59" xfId="0" applyFont="1" applyBorder="1" applyAlignment="1">
      <alignment horizontal="left" vertical="center"/>
    </xf>
    <xf numFmtId="0" fontId="64" fillId="0" borderId="68" xfId="0" applyFont="1" applyBorder="1" applyAlignment="1">
      <alignment horizontal="center" vertical="center"/>
    </xf>
    <xf numFmtId="0" fontId="64" fillId="0" borderId="60" xfId="0" applyFont="1" applyBorder="1" applyAlignment="1">
      <alignment horizontal="left" vertical="center"/>
    </xf>
    <xf numFmtId="0" fontId="64" fillId="0" borderId="28" xfId="0" applyFont="1" applyBorder="1" applyAlignment="1">
      <alignment horizontal="center" vertical="center"/>
    </xf>
    <xf numFmtId="0" fontId="64" fillId="0" borderId="64" xfId="0" applyFont="1" applyBorder="1" applyAlignment="1">
      <alignment horizontal="center" vertical="center"/>
    </xf>
    <xf numFmtId="0" fontId="64" fillId="0" borderId="16" xfId="0" applyFont="1" applyBorder="1" applyAlignment="1">
      <alignment horizontal="center" vertical="center"/>
    </xf>
    <xf numFmtId="0" fontId="64" fillId="0" borderId="48" xfId="0" applyFont="1" applyBorder="1" applyAlignment="1">
      <alignment horizontal="center" vertical="center"/>
    </xf>
    <xf numFmtId="0" fontId="64" fillId="0" borderId="69" xfId="0" applyFont="1" applyBorder="1" applyAlignment="1">
      <alignment horizontal="center" vertical="center"/>
    </xf>
    <xf numFmtId="38" fontId="64" fillId="0" borderId="59" xfId="49" applyFont="1" applyBorder="1" applyAlignment="1">
      <alignment vertical="center" shrinkToFit="1"/>
    </xf>
    <xf numFmtId="38" fontId="64" fillId="0" borderId="60" xfId="49" applyFont="1" applyBorder="1" applyAlignment="1">
      <alignment vertical="center" shrinkToFit="1"/>
    </xf>
    <xf numFmtId="38" fontId="64" fillId="0" borderId="59" xfId="49" applyFont="1" applyBorder="1" applyAlignment="1">
      <alignment vertical="center"/>
    </xf>
    <xf numFmtId="38" fontId="64" fillId="0" borderId="60" xfId="49" applyFont="1" applyBorder="1" applyAlignment="1">
      <alignment vertical="center"/>
    </xf>
    <xf numFmtId="38" fontId="64" fillId="0" borderId="70" xfId="49" applyFont="1" applyBorder="1" applyAlignment="1">
      <alignment vertical="center"/>
    </xf>
    <xf numFmtId="38" fontId="64" fillId="0" borderId="71" xfId="49" applyFont="1" applyBorder="1" applyAlignment="1">
      <alignment vertical="center"/>
    </xf>
    <xf numFmtId="38" fontId="64" fillId="0" borderId="25" xfId="49" applyFont="1" applyBorder="1" applyAlignment="1">
      <alignment vertical="center"/>
    </xf>
    <xf numFmtId="38" fontId="64" fillId="0" borderId="46" xfId="49" applyFont="1" applyBorder="1" applyAlignment="1">
      <alignment vertical="center"/>
    </xf>
    <xf numFmtId="0" fontId="7" fillId="0" borderId="44" xfId="0" applyFont="1" applyBorder="1" applyAlignment="1">
      <alignment horizontal="left" vertical="center"/>
    </xf>
    <xf numFmtId="0" fontId="7" fillId="0" borderId="58" xfId="0" applyFont="1" applyBorder="1" applyAlignment="1">
      <alignment horizontal="left" vertical="center"/>
    </xf>
    <xf numFmtId="0" fontId="7" fillId="0" borderId="45" xfId="0" applyFont="1" applyBorder="1" applyAlignment="1">
      <alignment horizontal="left" vertical="center"/>
    </xf>
    <xf numFmtId="38" fontId="64" fillId="0" borderId="59" xfId="49" applyFont="1" applyBorder="1" applyAlignment="1">
      <alignment horizontal="center" vertical="center"/>
    </xf>
    <xf numFmtId="38" fontId="64" fillId="0" borderId="60" xfId="49" applyFont="1" applyBorder="1" applyAlignment="1">
      <alignment horizontal="center" vertical="center"/>
    </xf>
    <xf numFmtId="38" fontId="64" fillId="0" borderId="72" xfId="49" applyFont="1" applyBorder="1" applyAlignment="1">
      <alignment horizontal="center" vertical="center"/>
    </xf>
    <xf numFmtId="38" fontId="64" fillId="0" borderId="73" xfId="49" applyFont="1" applyBorder="1" applyAlignment="1">
      <alignment horizontal="center" vertical="center"/>
    </xf>
    <xf numFmtId="38" fontId="7" fillId="0" borderId="44" xfId="49" applyFont="1" applyBorder="1" applyAlignment="1">
      <alignment horizontal="left" vertical="center"/>
    </xf>
    <xf numFmtId="38" fontId="7" fillId="0" borderId="58" xfId="49" applyFont="1" applyBorder="1" applyAlignment="1">
      <alignment horizontal="left" vertical="center"/>
    </xf>
    <xf numFmtId="38" fontId="7" fillId="0" borderId="45" xfId="49" applyFont="1" applyBorder="1" applyAlignment="1">
      <alignment horizontal="left" vertical="center"/>
    </xf>
    <xf numFmtId="0" fontId="64" fillId="0" borderId="48" xfId="0" applyFont="1" applyBorder="1" applyAlignment="1">
      <alignment vertical="center"/>
    </xf>
    <xf numFmtId="38" fontId="64" fillId="0" borderId="25" xfId="49" applyFont="1" applyBorder="1" applyAlignment="1">
      <alignment vertical="center" shrinkToFit="1"/>
    </xf>
    <xf numFmtId="38" fontId="64" fillId="0" borderId="46" xfId="49" applyFont="1" applyBorder="1" applyAlignment="1">
      <alignment vertical="center" shrinkToFit="1"/>
    </xf>
    <xf numFmtId="0" fontId="64" fillId="0" borderId="70" xfId="0" applyFont="1" applyBorder="1" applyAlignment="1">
      <alignment vertical="center"/>
    </xf>
    <xf numFmtId="0" fontId="64" fillId="0" borderId="71" xfId="0" applyFont="1" applyBorder="1" applyAlignment="1">
      <alignment vertical="center"/>
    </xf>
    <xf numFmtId="0" fontId="64" fillId="0" borderId="70" xfId="0" applyFont="1" applyBorder="1" applyAlignment="1">
      <alignment horizontal="left" vertical="center"/>
    </xf>
    <xf numFmtId="0" fontId="64" fillId="0" borderId="71" xfId="0" applyFont="1" applyBorder="1" applyAlignment="1">
      <alignment horizontal="left" vertical="center"/>
    </xf>
    <xf numFmtId="38" fontId="64" fillId="0" borderId="70" xfId="49" applyFont="1" applyBorder="1" applyAlignment="1">
      <alignment horizontal="left" vertical="center" shrinkToFit="1"/>
    </xf>
    <xf numFmtId="38" fontId="64" fillId="0" borderId="71" xfId="49" applyFont="1" applyBorder="1" applyAlignment="1">
      <alignment horizontal="left" vertical="center" shrinkToFit="1"/>
    </xf>
    <xf numFmtId="0" fontId="72" fillId="0" borderId="70" xfId="0" applyFont="1" applyBorder="1" applyAlignment="1">
      <alignment horizontal="center" vertical="center"/>
    </xf>
    <xf numFmtId="0" fontId="72" fillId="0" borderId="71" xfId="0" applyFont="1" applyBorder="1" applyAlignment="1">
      <alignment horizontal="center" vertical="center"/>
    </xf>
    <xf numFmtId="0" fontId="72" fillId="0" borderId="28" xfId="0" applyFont="1" applyBorder="1" applyAlignment="1">
      <alignment horizontal="center" vertical="center"/>
    </xf>
    <xf numFmtId="0" fontId="72" fillId="0" borderId="64" xfId="0" applyFont="1" applyBorder="1" applyAlignment="1">
      <alignment horizontal="center" vertical="center"/>
    </xf>
    <xf numFmtId="0" fontId="64" fillId="0" borderId="74" xfId="0" applyFont="1" applyBorder="1" applyAlignment="1">
      <alignment vertical="center"/>
    </xf>
    <xf numFmtId="0" fontId="64" fillId="0" borderId="75" xfId="0" applyFont="1" applyBorder="1" applyAlignment="1">
      <alignment vertical="center"/>
    </xf>
    <xf numFmtId="0" fontId="64" fillId="0" borderId="76" xfId="0" applyFont="1" applyBorder="1" applyAlignment="1">
      <alignment vertical="center"/>
    </xf>
    <xf numFmtId="0" fontId="75" fillId="0" borderId="58" xfId="0" applyFont="1" applyBorder="1" applyAlignment="1">
      <alignment horizontal="center" vertical="center"/>
    </xf>
    <xf numFmtId="0" fontId="75" fillId="0" borderId="45" xfId="0" applyFont="1" applyBorder="1" applyAlignment="1">
      <alignment horizontal="center" vertical="center"/>
    </xf>
    <xf numFmtId="0" fontId="78" fillId="0" borderId="0" xfId="0" applyFont="1" applyAlignment="1">
      <alignment horizontal="center" vertical="center"/>
    </xf>
    <xf numFmtId="0" fontId="70" fillId="0" borderId="0" xfId="0" applyFont="1" applyFill="1" applyAlignment="1">
      <alignment horizontal="center" vertical="center"/>
    </xf>
    <xf numFmtId="0" fontId="75" fillId="0" borderId="77" xfId="0" applyFont="1" applyBorder="1" applyAlignment="1">
      <alignment horizontal="left" vertical="center"/>
    </xf>
    <xf numFmtId="0" fontId="65" fillId="0" borderId="78" xfId="0" applyFont="1" applyBorder="1" applyAlignment="1">
      <alignment vertical="center"/>
    </xf>
    <xf numFmtId="0" fontId="64" fillId="0" borderId="79" xfId="0" applyFont="1" applyBorder="1" applyAlignment="1">
      <alignment vertical="center"/>
    </xf>
    <xf numFmtId="0" fontId="64" fillId="0" borderId="44" xfId="0" applyFont="1" applyBorder="1" applyAlignment="1">
      <alignment horizontal="center" vertical="center"/>
    </xf>
    <xf numFmtId="0" fontId="64" fillId="0" borderId="58" xfId="0" applyFont="1" applyBorder="1" applyAlignment="1">
      <alignment horizontal="left" vertical="center"/>
    </xf>
    <xf numFmtId="0" fontId="64" fillId="0" borderId="44" xfId="0" applyFont="1" applyBorder="1" applyAlignment="1">
      <alignment horizontal="left" vertical="center"/>
    </xf>
    <xf numFmtId="0" fontId="64" fillId="0" borderId="29" xfId="0" applyFont="1" applyBorder="1" applyAlignment="1">
      <alignment horizontal="center" vertical="center"/>
    </xf>
    <xf numFmtId="0" fontId="64" fillId="0" borderId="28" xfId="0" applyFont="1" applyBorder="1" applyAlignment="1">
      <alignment horizontal="center" vertical="center"/>
    </xf>
    <xf numFmtId="0" fontId="64" fillId="0" borderId="64" xfId="0" applyFont="1" applyBorder="1" applyAlignment="1">
      <alignment horizontal="center" vertical="center"/>
    </xf>
    <xf numFmtId="0" fontId="64" fillId="0" borderId="27" xfId="0" applyFont="1" applyBorder="1" applyAlignment="1">
      <alignment horizontal="center" vertical="center"/>
    </xf>
    <xf numFmtId="0" fontId="64" fillId="0" borderId="37" xfId="0" applyFont="1" applyBorder="1" applyAlignment="1">
      <alignment horizontal="center" vertical="center"/>
    </xf>
    <xf numFmtId="0" fontId="64" fillId="0" borderId="59" xfId="0" applyFont="1" applyBorder="1" applyAlignment="1">
      <alignment horizontal="center" vertical="center"/>
    </xf>
    <xf numFmtId="38" fontId="64" fillId="0" borderId="37" xfId="49" applyFont="1" applyBorder="1" applyAlignment="1">
      <alignment vertical="center"/>
    </xf>
    <xf numFmtId="38" fontId="64" fillId="0" borderId="25" xfId="49" applyFont="1" applyBorder="1" applyAlignment="1">
      <alignment horizontal="left" vertical="center"/>
    </xf>
    <xf numFmtId="38" fontId="64" fillId="0" borderId="70" xfId="49" applyFont="1" applyBorder="1" applyAlignment="1">
      <alignment horizontal="left" vertical="center"/>
    </xf>
    <xf numFmtId="38" fontId="64" fillId="0" borderId="80" xfId="49" applyFont="1" applyBorder="1" applyAlignment="1">
      <alignment horizontal="left" vertical="center"/>
    </xf>
    <xf numFmtId="0" fontId="67" fillId="0" borderId="81" xfId="0" applyFont="1" applyBorder="1" applyAlignment="1">
      <alignment horizontal="left" vertical="center"/>
    </xf>
    <xf numFmtId="0" fontId="64" fillId="0" borderId="82" xfId="0" applyFont="1" applyBorder="1" applyAlignment="1">
      <alignment horizontal="center" vertical="center"/>
    </xf>
    <xf numFmtId="0" fontId="64" fillId="0" borderId="83" xfId="0" applyFont="1" applyBorder="1" applyAlignment="1">
      <alignment horizontal="center" vertical="center"/>
    </xf>
    <xf numFmtId="38" fontId="64" fillId="0" borderId="37" xfId="49" applyFont="1" applyBorder="1" applyAlignment="1">
      <alignment horizontal="left" vertical="center"/>
    </xf>
    <xf numFmtId="0" fontId="64" fillId="0" borderId="37" xfId="0" applyFont="1" applyBorder="1" applyAlignment="1">
      <alignment horizontal="left" vertical="center"/>
    </xf>
    <xf numFmtId="0" fontId="72" fillId="0" borderId="38" xfId="0" applyFont="1" applyBorder="1" applyAlignment="1">
      <alignment horizontal="left" vertical="center"/>
    </xf>
    <xf numFmtId="0" fontId="72" fillId="0" borderId="29" xfId="0" applyFont="1" applyBorder="1" applyAlignment="1">
      <alignment horizontal="left" vertical="center"/>
    </xf>
    <xf numFmtId="38" fontId="7" fillId="0" borderId="0" xfId="49" applyFont="1" applyBorder="1" applyAlignment="1">
      <alignment horizontal="left" vertical="center"/>
    </xf>
    <xf numFmtId="38" fontId="64" fillId="0" borderId="0" xfId="49" applyFont="1" applyBorder="1" applyAlignment="1">
      <alignment vertical="center"/>
    </xf>
    <xf numFmtId="38" fontId="64" fillId="0" borderId="0" xfId="49" applyFont="1" applyBorder="1" applyAlignment="1">
      <alignment horizontal="left" vertical="center"/>
    </xf>
    <xf numFmtId="38" fontId="64" fillId="0" borderId="0" xfId="49" applyFont="1" applyBorder="1" applyAlignment="1">
      <alignment horizontal="left" vertical="center" shrinkToFit="1"/>
    </xf>
    <xf numFmtId="38" fontId="64" fillId="0" borderId="0" xfId="49" applyFont="1" applyBorder="1" applyAlignment="1">
      <alignment vertical="center" shrinkToFit="1"/>
    </xf>
    <xf numFmtId="38" fontId="64" fillId="0" borderId="84" xfId="49" applyFont="1" applyBorder="1" applyAlignment="1">
      <alignment horizontal="center" vertical="center"/>
    </xf>
    <xf numFmtId="38" fontId="64" fillId="0" borderId="85" xfId="49" applyFont="1" applyBorder="1" applyAlignment="1">
      <alignment vertical="center"/>
    </xf>
    <xf numFmtId="38" fontId="7" fillId="0" borderId="11" xfId="49" applyFont="1" applyBorder="1" applyAlignment="1">
      <alignment horizontal="left" vertical="center"/>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4" fillId="0" borderId="56" xfId="0" applyFont="1" applyBorder="1" applyAlignment="1">
      <alignment horizontal="center" vertical="center"/>
    </xf>
    <xf numFmtId="0" fontId="64" fillId="0" borderId="30" xfId="0" applyFont="1" applyBorder="1" applyAlignment="1">
      <alignment horizontal="center" vertical="center"/>
    </xf>
    <xf numFmtId="0" fontId="64" fillId="33" borderId="0" xfId="0" applyFont="1" applyFill="1" applyBorder="1" applyAlignment="1">
      <alignment horizontal="left" vertical="center"/>
    </xf>
    <xf numFmtId="0" fontId="64" fillId="33" borderId="0" xfId="0" applyFont="1" applyFill="1" applyBorder="1" applyAlignment="1">
      <alignment horizontal="center" vertical="center"/>
    </xf>
    <xf numFmtId="38" fontId="64" fillId="33" borderId="0" xfId="49" applyFont="1" applyFill="1" applyBorder="1" applyAlignment="1">
      <alignment horizontal="right" vertical="center"/>
    </xf>
    <xf numFmtId="0" fontId="68" fillId="34" borderId="0" xfId="0" applyFont="1" applyFill="1" applyAlignment="1">
      <alignment vertical="center"/>
    </xf>
    <xf numFmtId="0" fontId="64" fillId="34" borderId="0" xfId="0" applyFont="1" applyFill="1" applyAlignment="1">
      <alignment vertical="center"/>
    </xf>
    <xf numFmtId="0" fontId="64" fillId="34" borderId="0" xfId="0" applyFont="1" applyFill="1" applyBorder="1" applyAlignment="1">
      <alignment vertical="center"/>
    </xf>
    <xf numFmtId="0" fontId="66" fillId="0" borderId="0" xfId="0" applyFont="1" applyBorder="1" applyAlignment="1">
      <alignment horizontal="center" vertical="center"/>
    </xf>
    <xf numFmtId="38" fontId="65" fillId="0" borderId="0" xfId="49" applyFont="1" applyFill="1" applyBorder="1" applyAlignment="1">
      <alignment horizontal="right" vertical="center"/>
    </xf>
    <xf numFmtId="0" fontId="79" fillId="0" borderId="0" xfId="43" applyFont="1" applyBorder="1" applyAlignment="1">
      <alignment vertical="center"/>
    </xf>
    <xf numFmtId="0" fontId="74" fillId="0" borderId="0" xfId="0" applyFont="1" applyBorder="1" applyAlignment="1">
      <alignment vertical="center"/>
    </xf>
    <xf numFmtId="0" fontId="74" fillId="0" borderId="48" xfId="0" applyFont="1" applyBorder="1" applyAlignment="1">
      <alignment horizontal="center" vertical="center"/>
    </xf>
    <xf numFmtId="38" fontId="65" fillId="0" borderId="0" xfId="49" applyFont="1" applyFill="1" applyBorder="1" applyAlignment="1" applyProtection="1">
      <alignment horizontal="center" vertical="center"/>
      <protection/>
    </xf>
    <xf numFmtId="0" fontId="64" fillId="0" borderId="0" xfId="0" applyFont="1" applyBorder="1" applyAlignment="1" applyProtection="1">
      <alignment vertical="center"/>
      <protection/>
    </xf>
    <xf numFmtId="0" fontId="64" fillId="0" borderId="0" xfId="0" applyFont="1" applyBorder="1" applyAlignment="1" applyProtection="1">
      <alignment horizontal="center" vertical="center"/>
      <protection/>
    </xf>
    <xf numFmtId="0" fontId="70" fillId="0" borderId="0" xfId="0" applyFont="1" applyFill="1" applyAlignment="1" applyProtection="1">
      <alignment vertical="center"/>
      <protection/>
    </xf>
    <xf numFmtId="0" fontId="68" fillId="0" borderId="0" xfId="0" applyFont="1" applyFill="1" applyAlignment="1" applyProtection="1">
      <alignment vertical="center"/>
      <protection/>
    </xf>
    <xf numFmtId="0" fontId="74" fillId="0" borderId="0" xfId="0" applyFont="1" applyBorder="1" applyAlignment="1" applyProtection="1">
      <alignment vertical="center"/>
      <protection/>
    </xf>
    <xf numFmtId="0" fontId="64" fillId="0" borderId="0" xfId="0" applyFont="1" applyFill="1" applyBorder="1" applyAlignment="1" applyProtection="1">
      <alignment vertical="center"/>
      <protection/>
    </xf>
    <xf numFmtId="0" fontId="64" fillId="0" borderId="0" xfId="0" applyFont="1" applyFill="1" applyBorder="1" applyAlignment="1" applyProtection="1">
      <alignment horizontal="center" vertical="center"/>
      <protection/>
    </xf>
    <xf numFmtId="0" fontId="64" fillId="0" borderId="0" xfId="0" applyFont="1" applyFill="1" applyAlignment="1" applyProtection="1">
      <alignment vertical="center"/>
      <protection/>
    </xf>
    <xf numFmtId="0" fontId="70" fillId="0" borderId="0" xfId="0" applyFont="1" applyFill="1" applyBorder="1" applyAlignment="1" applyProtection="1">
      <alignment vertical="center"/>
      <protection/>
    </xf>
    <xf numFmtId="0" fontId="68" fillId="0" borderId="11" xfId="0" applyFont="1" applyFill="1" applyBorder="1" applyAlignment="1">
      <alignment/>
    </xf>
    <xf numFmtId="0" fontId="68" fillId="0" borderId="0" xfId="0" applyFont="1" applyFill="1" applyBorder="1" applyAlignment="1">
      <alignment/>
    </xf>
    <xf numFmtId="0" fontId="64" fillId="0" borderId="0" xfId="0" applyFont="1" applyFill="1" applyBorder="1" applyAlignment="1">
      <alignment horizontal="center"/>
    </xf>
    <xf numFmtId="49" fontId="64" fillId="0" borderId="0" xfId="0" applyNumberFormat="1" applyFont="1" applyFill="1" applyBorder="1" applyAlignment="1">
      <alignment horizontal="left" vertical="center"/>
    </xf>
    <xf numFmtId="0" fontId="65" fillId="0" borderId="0" xfId="49" applyNumberFormat="1"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horizontal="left" vertical="center"/>
    </xf>
    <xf numFmtId="3" fontId="68" fillId="0" borderId="0" xfId="43" applyNumberFormat="1"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0" xfId="0" applyFont="1" applyFill="1" applyBorder="1" applyAlignment="1" applyProtection="1">
      <alignment vertical="center"/>
      <protection/>
    </xf>
    <xf numFmtId="0" fontId="79" fillId="0" borderId="0" xfId="43" applyFont="1" applyFill="1" applyBorder="1" applyAlignment="1" applyProtection="1">
      <alignment horizontal="left" vertical="center"/>
      <protection/>
    </xf>
    <xf numFmtId="0" fontId="79" fillId="0" borderId="0" xfId="43" applyFont="1" applyFill="1" applyBorder="1" applyAlignment="1" applyProtection="1">
      <alignment vertical="center"/>
      <protection/>
    </xf>
    <xf numFmtId="38" fontId="64" fillId="35" borderId="86" xfId="49" applyFont="1" applyFill="1" applyBorder="1" applyAlignment="1">
      <alignment horizontal="right" vertical="center"/>
    </xf>
    <xf numFmtId="38" fontId="64" fillId="35" borderId="68" xfId="49" applyFont="1" applyFill="1" applyBorder="1" applyAlignment="1">
      <alignment horizontal="right" vertical="center"/>
    </xf>
    <xf numFmtId="38" fontId="64" fillId="35" borderId="87" xfId="49" applyFont="1" applyFill="1" applyBorder="1" applyAlignment="1">
      <alignment horizontal="right" vertical="center"/>
    </xf>
    <xf numFmtId="38" fontId="64" fillId="33" borderId="0" xfId="49" applyFont="1" applyFill="1" applyBorder="1" applyAlignment="1">
      <alignment vertical="center"/>
    </xf>
    <xf numFmtId="38" fontId="64" fillId="33" borderId="0" xfId="49" applyFont="1" applyFill="1" applyBorder="1" applyAlignment="1">
      <alignment horizontal="right" vertical="center"/>
    </xf>
    <xf numFmtId="180" fontId="64" fillId="33" borderId="0" xfId="49" applyNumberFormat="1" applyFont="1" applyFill="1" applyBorder="1" applyAlignment="1">
      <alignment horizontal="right" vertical="center"/>
    </xf>
    <xf numFmtId="40" fontId="64" fillId="33" borderId="0" xfId="49" applyNumberFormat="1" applyFont="1" applyFill="1" applyBorder="1" applyAlignment="1">
      <alignment vertical="center"/>
    </xf>
    <xf numFmtId="38" fontId="64" fillId="33" borderId="85" xfId="49" applyFont="1" applyFill="1" applyBorder="1" applyAlignment="1">
      <alignment vertical="center"/>
    </xf>
    <xf numFmtId="40" fontId="64" fillId="35" borderId="59" xfId="49" applyNumberFormat="1" applyFont="1" applyFill="1" applyBorder="1" applyAlignment="1">
      <alignment vertical="center"/>
    </xf>
    <xf numFmtId="40" fontId="64" fillId="35" borderId="88" xfId="49" applyNumberFormat="1" applyFont="1" applyFill="1" applyBorder="1" applyAlignment="1">
      <alignment vertical="center"/>
    </xf>
    <xf numFmtId="40" fontId="64" fillId="35" borderId="89" xfId="49" applyNumberFormat="1" applyFont="1" applyFill="1" applyBorder="1" applyAlignment="1">
      <alignment vertical="center"/>
    </xf>
    <xf numFmtId="40" fontId="64" fillId="35" borderId="72" xfId="49" applyNumberFormat="1" applyFont="1" applyFill="1" applyBorder="1" applyAlignment="1">
      <alignment vertical="center"/>
    </xf>
    <xf numFmtId="40" fontId="64" fillId="35" borderId="90" xfId="49" applyNumberFormat="1" applyFont="1" applyFill="1" applyBorder="1" applyAlignment="1">
      <alignment vertical="center"/>
    </xf>
    <xf numFmtId="0" fontId="72" fillId="0" borderId="42" xfId="0" applyFont="1" applyBorder="1" applyAlignment="1">
      <alignment horizontal="left" vertical="center"/>
    </xf>
    <xf numFmtId="0" fontId="72" fillId="0" borderId="51" xfId="0" applyFont="1" applyBorder="1" applyAlignment="1">
      <alignment horizontal="left" vertical="center"/>
    </xf>
    <xf numFmtId="0" fontId="72" fillId="0" borderId="14" xfId="0" applyFont="1" applyBorder="1" applyAlignment="1">
      <alignment horizontal="left" vertical="center"/>
    </xf>
    <xf numFmtId="0" fontId="72" fillId="0" borderId="22" xfId="0" applyFont="1" applyBorder="1" applyAlignment="1">
      <alignment horizontal="left" vertical="center"/>
    </xf>
    <xf numFmtId="38" fontId="65" fillId="0" borderId="91" xfId="49" applyFont="1" applyFill="1" applyBorder="1" applyAlignment="1">
      <alignment horizontal="right" vertical="center"/>
    </xf>
    <xf numFmtId="38" fontId="65" fillId="0" borderId="92" xfId="49" applyFont="1" applyFill="1" applyBorder="1" applyAlignment="1">
      <alignment horizontal="right" vertical="center"/>
    </xf>
    <xf numFmtId="38" fontId="65" fillId="0" borderId="78" xfId="49" applyFont="1" applyFill="1" applyBorder="1" applyAlignment="1">
      <alignment horizontal="right" vertical="center"/>
    </xf>
    <xf numFmtId="38" fontId="65" fillId="0" borderId="16" xfId="49" applyFont="1" applyFill="1" applyBorder="1" applyAlignment="1">
      <alignment horizontal="right" vertical="center"/>
    </xf>
    <xf numFmtId="38" fontId="65" fillId="0" borderId="93" xfId="49" applyFont="1" applyFill="1" applyBorder="1" applyAlignment="1">
      <alignment horizontal="right" vertical="center"/>
    </xf>
    <xf numFmtId="38" fontId="65" fillId="0" borderId="25" xfId="49" applyFont="1" applyFill="1" applyBorder="1" applyAlignment="1">
      <alignment horizontal="right" vertical="center"/>
    </xf>
    <xf numFmtId="0" fontId="64" fillId="0" borderId="37" xfId="0" applyFont="1" applyBorder="1" applyAlignment="1">
      <alignment horizontal="left" vertical="center" shrinkToFit="1"/>
    </xf>
    <xf numFmtId="0" fontId="64" fillId="0" borderId="59" xfId="0" applyFont="1" applyBorder="1" applyAlignment="1">
      <alignment horizontal="left" vertical="center" shrinkToFit="1"/>
    </xf>
    <xf numFmtId="0" fontId="64" fillId="0" borderId="60" xfId="0" applyFont="1" applyBorder="1" applyAlignment="1">
      <alignment horizontal="left" vertical="center" shrinkToFit="1"/>
    </xf>
    <xf numFmtId="0" fontId="64" fillId="0" borderId="29" xfId="0" applyFont="1" applyBorder="1" applyAlignment="1">
      <alignment horizontal="left" vertical="center" shrinkToFit="1"/>
    </xf>
    <xf numFmtId="0" fontId="64" fillId="0" borderId="28" xfId="0" applyFont="1" applyBorder="1" applyAlignment="1">
      <alignment horizontal="left" vertical="center" shrinkToFit="1"/>
    </xf>
    <xf numFmtId="0" fontId="64" fillId="0" borderId="64" xfId="0" applyFont="1" applyBorder="1" applyAlignment="1">
      <alignment horizontal="left" vertical="center" shrinkToFit="1"/>
    </xf>
    <xf numFmtId="38" fontId="64" fillId="35" borderId="78" xfId="49" applyFont="1" applyFill="1" applyBorder="1" applyAlignment="1">
      <alignment horizontal="right" vertical="center"/>
    </xf>
    <xf numFmtId="38" fontId="64" fillId="35" borderId="16" xfId="49" applyFont="1" applyFill="1" applyBorder="1" applyAlignment="1">
      <alignment horizontal="right" vertical="center"/>
    </xf>
    <xf numFmtId="38" fontId="64" fillId="35" borderId="17" xfId="49" applyFont="1" applyFill="1" applyBorder="1" applyAlignment="1">
      <alignment horizontal="right" vertical="center"/>
    </xf>
    <xf numFmtId="0" fontId="64" fillId="0" borderId="70" xfId="0" applyFont="1" applyBorder="1" applyAlignment="1">
      <alignment horizontal="center"/>
    </xf>
    <xf numFmtId="0" fontId="64" fillId="0" borderId="94" xfId="0" applyFont="1" applyBorder="1" applyAlignment="1">
      <alignment horizontal="center"/>
    </xf>
    <xf numFmtId="0" fontId="67" fillId="0" borderId="81" xfId="0" applyFont="1" applyBorder="1" applyAlignment="1">
      <alignment horizontal="center" vertical="center"/>
    </xf>
    <xf numFmtId="0" fontId="67" fillId="0" borderId="65" xfId="0" applyFont="1" applyBorder="1" applyAlignment="1">
      <alignment horizontal="center" vertical="center"/>
    </xf>
    <xf numFmtId="0" fontId="67" fillId="0" borderId="66" xfId="0" applyFont="1" applyBorder="1" applyAlignment="1">
      <alignment horizontal="center" vertical="center"/>
    </xf>
    <xf numFmtId="0" fontId="68" fillId="0" borderId="11" xfId="0" applyFont="1" applyFill="1" applyBorder="1" applyAlignment="1">
      <alignment horizontal="center" vertical="center"/>
    </xf>
    <xf numFmtId="0" fontId="68" fillId="0" borderId="0" xfId="0" applyFont="1" applyFill="1" applyBorder="1" applyAlignment="1">
      <alignment horizontal="center" vertical="center"/>
    </xf>
    <xf numFmtId="38" fontId="64" fillId="0" borderId="95" xfId="49" applyFont="1" applyBorder="1" applyAlignment="1">
      <alignment horizontal="right" vertical="center"/>
    </xf>
    <xf numFmtId="38" fontId="64" fillId="0" borderId="70" xfId="49" applyFont="1" applyBorder="1" applyAlignment="1">
      <alignment horizontal="right" vertical="center"/>
    </xf>
    <xf numFmtId="38" fontId="64" fillId="0" borderId="94" xfId="49" applyFont="1" applyBorder="1" applyAlignment="1">
      <alignment horizontal="right" vertical="center"/>
    </xf>
    <xf numFmtId="38" fontId="64" fillId="35" borderId="25" xfId="49" applyFont="1" applyFill="1" applyBorder="1" applyAlignment="1">
      <alignment vertical="center"/>
    </xf>
    <xf numFmtId="38" fontId="64" fillId="35" borderId="26" xfId="49" applyFont="1" applyFill="1" applyBorder="1" applyAlignment="1">
      <alignment vertical="center"/>
    </xf>
    <xf numFmtId="40" fontId="64" fillId="35" borderId="82" xfId="49" applyNumberFormat="1" applyFont="1" applyFill="1" applyBorder="1" applyAlignment="1">
      <alignment vertical="center"/>
    </xf>
    <xf numFmtId="38" fontId="65" fillId="0" borderId="96" xfId="49" applyFont="1" applyFill="1" applyBorder="1" applyAlignment="1">
      <alignment horizontal="right" vertical="center"/>
    </xf>
    <xf numFmtId="38" fontId="65" fillId="0" borderId="97" xfId="49" applyFont="1" applyFill="1" applyBorder="1" applyAlignment="1">
      <alignment horizontal="right" vertical="center"/>
    </xf>
    <xf numFmtId="0" fontId="68" fillId="0" borderId="98" xfId="0" applyFont="1" applyBorder="1" applyAlignment="1">
      <alignment horizontal="center" vertical="center"/>
    </xf>
    <xf numFmtId="0" fontId="68" fillId="0" borderId="99" xfId="0" applyFont="1" applyBorder="1" applyAlignment="1">
      <alignment horizontal="center" vertical="center"/>
    </xf>
    <xf numFmtId="0" fontId="68" fillId="0" borderId="35" xfId="0" applyFont="1" applyBorder="1" applyAlignment="1">
      <alignment horizontal="center" vertical="center"/>
    </xf>
    <xf numFmtId="38" fontId="64" fillId="35" borderId="93" xfId="49" applyFont="1" applyFill="1" applyBorder="1" applyAlignment="1">
      <alignment horizontal="right" vertical="center"/>
    </xf>
    <xf numFmtId="38" fontId="64" fillId="35" borderId="25" xfId="49" applyFont="1" applyFill="1" applyBorder="1" applyAlignment="1">
      <alignment horizontal="right" vertical="center"/>
    </xf>
    <xf numFmtId="38" fontId="64" fillId="35" borderId="26" xfId="49" applyFont="1" applyFill="1" applyBorder="1" applyAlignment="1">
      <alignment horizontal="right" vertical="center"/>
    </xf>
    <xf numFmtId="0" fontId="64" fillId="0" borderId="100" xfId="0" applyFont="1" applyBorder="1" applyAlignment="1">
      <alignment horizontal="center" vertical="center" wrapText="1"/>
    </xf>
    <xf numFmtId="0" fontId="64" fillId="0" borderId="101"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102" xfId="0" applyFont="1" applyBorder="1" applyAlignment="1">
      <alignment horizontal="center" vertical="center" wrapText="1"/>
    </xf>
    <xf numFmtId="0" fontId="64" fillId="0" borderId="100" xfId="0" applyFont="1" applyBorder="1" applyAlignment="1">
      <alignment horizontal="center" vertical="center"/>
    </xf>
    <xf numFmtId="0" fontId="64" fillId="0" borderId="52" xfId="0" applyFont="1" applyBorder="1" applyAlignment="1">
      <alignment horizontal="center" vertical="center"/>
    </xf>
    <xf numFmtId="38" fontId="64" fillId="35" borderId="103" xfId="49" applyFont="1" applyFill="1" applyBorder="1" applyAlignment="1">
      <alignment horizontal="right" vertical="center"/>
    </xf>
    <xf numFmtId="38" fontId="64" fillId="35" borderId="24" xfId="49" applyFont="1" applyFill="1" applyBorder="1" applyAlignment="1">
      <alignment horizontal="right" vertical="center"/>
    </xf>
    <xf numFmtId="38" fontId="64" fillId="35" borderId="104" xfId="49" applyFont="1" applyFill="1" applyBorder="1" applyAlignment="1">
      <alignment horizontal="right" vertical="center"/>
    </xf>
    <xf numFmtId="38" fontId="64" fillId="35" borderId="83" xfId="49" applyFont="1" applyFill="1" applyBorder="1" applyAlignment="1">
      <alignment horizontal="right" vertical="center"/>
    </xf>
    <xf numFmtId="38" fontId="64" fillId="35" borderId="28" xfId="49" applyFont="1" applyFill="1" applyBorder="1" applyAlignment="1">
      <alignment horizontal="right" vertical="center"/>
    </xf>
    <xf numFmtId="38" fontId="64" fillId="35" borderId="30" xfId="49" applyFont="1" applyFill="1" applyBorder="1" applyAlignment="1">
      <alignment horizontal="right" vertical="center"/>
    </xf>
    <xf numFmtId="0" fontId="64" fillId="0" borderId="44" xfId="0" applyFont="1" applyBorder="1" applyAlignment="1">
      <alignment horizontal="center" vertical="center"/>
    </xf>
    <xf numFmtId="0" fontId="64" fillId="0" borderId="58" xfId="0" applyFont="1" applyBorder="1" applyAlignment="1">
      <alignment horizontal="center" vertical="center"/>
    </xf>
    <xf numFmtId="0" fontId="64" fillId="0" borderId="67" xfId="0" applyFont="1" applyBorder="1" applyAlignment="1">
      <alignment horizontal="center" vertical="center"/>
    </xf>
    <xf numFmtId="180" fontId="64" fillId="35" borderId="93" xfId="49" applyNumberFormat="1" applyFont="1" applyFill="1" applyBorder="1" applyAlignment="1">
      <alignment horizontal="right" vertical="center"/>
    </xf>
    <xf numFmtId="180" fontId="64" fillId="35" borderId="25" xfId="49" applyNumberFormat="1" applyFont="1" applyFill="1" applyBorder="1" applyAlignment="1">
      <alignment horizontal="right" vertical="center"/>
    </xf>
    <xf numFmtId="180" fontId="64" fillId="35" borderId="26" xfId="49" applyNumberFormat="1" applyFont="1" applyFill="1" applyBorder="1" applyAlignment="1">
      <alignment horizontal="right" vertical="center"/>
    </xf>
    <xf numFmtId="38" fontId="64" fillId="35" borderId="105" xfId="49" applyFont="1" applyFill="1" applyBorder="1" applyAlignment="1">
      <alignment horizontal="right" vertical="center"/>
    </xf>
    <xf numFmtId="38" fontId="64" fillId="35" borderId="99" xfId="49" applyFont="1" applyFill="1" applyBorder="1" applyAlignment="1">
      <alignment horizontal="right" vertical="center"/>
    </xf>
    <xf numFmtId="38" fontId="64" fillId="35" borderId="35" xfId="49" applyFont="1" applyFill="1" applyBorder="1" applyAlignment="1">
      <alignment horizontal="right" vertical="center"/>
    </xf>
    <xf numFmtId="0" fontId="64" fillId="0" borderId="36" xfId="0" applyFont="1" applyBorder="1" applyAlignment="1">
      <alignment horizontal="center" vertical="center"/>
    </xf>
    <xf numFmtId="0" fontId="64" fillId="0" borderId="106" xfId="0" applyFont="1" applyBorder="1" applyAlignment="1">
      <alignment horizontal="center" vertical="center"/>
    </xf>
    <xf numFmtId="0" fontId="64" fillId="0" borderId="107" xfId="0" applyFont="1" applyBorder="1" applyAlignment="1">
      <alignment horizontal="center" vertical="center"/>
    </xf>
    <xf numFmtId="0" fontId="64" fillId="0" borderId="108" xfId="0" applyFont="1" applyBorder="1" applyAlignment="1">
      <alignment horizontal="center" vertical="center"/>
    </xf>
    <xf numFmtId="0" fontId="64" fillId="0" borderId="109" xfId="0" applyFont="1" applyBorder="1" applyAlignment="1">
      <alignment horizontal="center" vertical="center"/>
    </xf>
    <xf numFmtId="0" fontId="66" fillId="0" borderId="11" xfId="0" applyFont="1" applyBorder="1" applyAlignment="1">
      <alignment horizontal="center" vertical="center"/>
    </xf>
    <xf numFmtId="0" fontId="66" fillId="0" borderId="0" xfId="0" applyFont="1" applyAlignment="1">
      <alignment horizontal="center" vertical="center"/>
    </xf>
    <xf numFmtId="38" fontId="64" fillId="35" borderId="82" xfId="49" applyFont="1" applyFill="1" applyBorder="1" applyAlignment="1">
      <alignment horizontal="right" vertical="center"/>
    </xf>
    <xf numFmtId="38" fontId="64" fillId="35" borderId="59" xfId="49" applyFont="1" applyFill="1" applyBorder="1" applyAlignment="1">
      <alignment horizontal="right" vertical="center"/>
    </xf>
    <xf numFmtId="38" fontId="64" fillId="35" borderId="88" xfId="49" applyFont="1" applyFill="1" applyBorder="1" applyAlignment="1">
      <alignment horizontal="right" vertical="center"/>
    </xf>
    <xf numFmtId="0" fontId="66" fillId="0" borderId="0" xfId="0" applyFont="1" applyBorder="1" applyAlignment="1">
      <alignment horizontal="center" vertical="center"/>
    </xf>
    <xf numFmtId="38" fontId="64" fillId="35" borderId="59" xfId="49" applyFont="1" applyFill="1" applyBorder="1" applyAlignment="1">
      <alignment vertical="center"/>
    </xf>
    <xf numFmtId="38" fontId="64" fillId="35" borderId="88" xfId="49" applyFont="1" applyFill="1" applyBorder="1" applyAlignment="1">
      <alignment vertical="center"/>
    </xf>
    <xf numFmtId="0" fontId="64" fillId="0" borderId="110" xfId="0" applyFont="1" applyBorder="1" applyAlignment="1">
      <alignment horizontal="center" vertical="center"/>
    </xf>
    <xf numFmtId="0" fontId="64" fillId="0" borderId="111" xfId="0" applyFont="1" applyBorder="1" applyAlignment="1">
      <alignment horizontal="center" vertical="center"/>
    </xf>
    <xf numFmtId="0" fontId="64" fillId="0" borderId="57" xfId="0" applyFont="1" applyBorder="1" applyAlignment="1">
      <alignment horizontal="center" vertical="center"/>
    </xf>
    <xf numFmtId="0" fontId="64" fillId="0" borderId="112" xfId="0" applyFont="1" applyBorder="1" applyAlignment="1">
      <alignment horizontal="center" vertical="center"/>
    </xf>
    <xf numFmtId="0" fontId="64" fillId="0" borderId="113" xfId="0" applyFont="1" applyBorder="1" applyAlignment="1">
      <alignment horizontal="center" vertical="center"/>
    </xf>
    <xf numFmtId="0" fontId="64" fillId="0" borderId="19" xfId="0" applyFont="1" applyBorder="1" applyAlignment="1">
      <alignment horizontal="center" vertical="center"/>
    </xf>
    <xf numFmtId="0" fontId="64" fillId="0" borderId="114" xfId="0" applyFont="1" applyBorder="1" applyAlignment="1">
      <alignment horizontal="center" vertical="center"/>
    </xf>
    <xf numFmtId="0" fontId="64" fillId="0" borderId="115" xfId="0" applyFont="1" applyBorder="1" applyAlignment="1">
      <alignment horizontal="center" vertical="center"/>
    </xf>
    <xf numFmtId="0" fontId="64" fillId="0" borderId="33" xfId="0" applyFont="1" applyBorder="1" applyAlignment="1">
      <alignment horizontal="center" vertical="center"/>
    </xf>
    <xf numFmtId="0" fontId="64" fillId="0" borderId="116" xfId="0" applyFont="1" applyBorder="1" applyAlignment="1">
      <alignment horizontal="center" vertical="center"/>
    </xf>
    <xf numFmtId="0" fontId="64" fillId="0" borderId="117" xfId="0" applyFont="1" applyBorder="1" applyAlignment="1">
      <alignment horizontal="center" vertical="center"/>
    </xf>
    <xf numFmtId="0" fontId="64" fillId="0" borderId="118" xfId="0" applyFont="1" applyBorder="1" applyAlignment="1">
      <alignment horizontal="center" vertical="center"/>
    </xf>
    <xf numFmtId="0" fontId="64" fillId="0" borderId="85" xfId="0" applyFont="1" applyBorder="1" applyAlignment="1">
      <alignment horizontal="center" vertical="center"/>
    </xf>
    <xf numFmtId="38" fontId="65" fillId="0" borderId="119" xfId="49" applyFont="1" applyFill="1" applyBorder="1" applyAlignment="1">
      <alignment horizontal="center" vertical="center"/>
    </xf>
    <xf numFmtId="38" fontId="65" fillId="0" borderId="120" xfId="49" applyFont="1" applyFill="1" applyBorder="1" applyAlignment="1">
      <alignment horizontal="center" vertical="center"/>
    </xf>
    <xf numFmtId="38" fontId="65" fillId="0" borderId="121" xfId="49" applyFont="1" applyFill="1" applyBorder="1" applyAlignment="1">
      <alignment horizontal="center" vertical="center"/>
    </xf>
    <xf numFmtId="0" fontId="79" fillId="0" borderId="0" xfId="43" applyFont="1" applyBorder="1" applyAlignment="1" applyProtection="1">
      <alignment horizontal="left" vertical="center"/>
      <protection locked="0"/>
    </xf>
    <xf numFmtId="0" fontId="64" fillId="0" borderId="14" xfId="0" applyFont="1" applyBorder="1" applyAlignment="1">
      <alignment horizontal="right" vertical="center"/>
    </xf>
    <xf numFmtId="38" fontId="65" fillId="36" borderId="86" xfId="49" applyFont="1" applyFill="1" applyBorder="1" applyAlignment="1" applyProtection="1">
      <alignment horizontal="center" vertical="center"/>
      <protection locked="0"/>
    </xf>
    <xf numFmtId="38" fontId="65" fillId="36" borderId="68" xfId="49" applyFont="1" applyFill="1" applyBorder="1" applyAlignment="1" applyProtection="1">
      <alignment horizontal="center" vertical="center"/>
      <protection locked="0"/>
    </xf>
    <xf numFmtId="0" fontId="64" fillId="0" borderId="122" xfId="0" applyFont="1" applyBorder="1" applyAlignment="1">
      <alignment horizontal="center" vertical="center"/>
    </xf>
    <xf numFmtId="0" fontId="64" fillId="0" borderId="123" xfId="0" applyFont="1" applyBorder="1" applyAlignment="1">
      <alignment horizontal="center" vertical="center"/>
    </xf>
    <xf numFmtId="0" fontId="64" fillId="0" borderId="84" xfId="0" applyFont="1" applyBorder="1" applyAlignment="1">
      <alignment horizontal="center" vertical="center"/>
    </xf>
    <xf numFmtId="0" fontId="64" fillId="0" borderId="124" xfId="0" applyFont="1" applyBorder="1" applyAlignment="1">
      <alignment horizontal="center" vertical="center"/>
    </xf>
    <xf numFmtId="38" fontId="65" fillId="0" borderId="78" xfId="49" applyFont="1" applyFill="1" applyBorder="1" applyAlignment="1" applyProtection="1">
      <alignment horizontal="right" vertical="center"/>
      <protection/>
    </xf>
    <xf numFmtId="38" fontId="65" fillId="0" borderId="16" xfId="49" applyFont="1" applyFill="1" applyBorder="1" applyAlignment="1" applyProtection="1">
      <alignment horizontal="right" vertical="center"/>
      <protection/>
    </xf>
    <xf numFmtId="38" fontId="64" fillId="35" borderId="96" xfId="49" applyFont="1" applyFill="1" applyBorder="1" applyAlignment="1">
      <alignment horizontal="right" vertical="center"/>
    </xf>
    <xf numFmtId="38" fontId="64" fillId="35" borderId="97" xfId="49" applyFont="1" applyFill="1" applyBorder="1" applyAlignment="1">
      <alignment horizontal="right" vertical="center"/>
    </xf>
    <xf numFmtId="38" fontId="64" fillId="35" borderId="47" xfId="49" applyFont="1" applyFill="1" applyBorder="1" applyAlignment="1">
      <alignment horizontal="right" vertical="center"/>
    </xf>
    <xf numFmtId="0" fontId="64" fillId="0" borderId="92" xfId="0" applyFont="1" applyBorder="1" applyAlignment="1">
      <alignment horizontal="left" vertical="center"/>
    </xf>
    <xf numFmtId="0" fontId="64" fillId="0" borderId="49" xfId="0" applyFont="1" applyBorder="1" applyAlignment="1">
      <alignment horizontal="left" vertical="center"/>
    </xf>
    <xf numFmtId="0" fontId="64" fillId="0" borderId="16" xfId="0" applyFont="1" applyBorder="1" applyAlignment="1">
      <alignment horizontal="left" vertical="center"/>
    </xf>
    <xf numFmtId="0" fontId="64" fillId="0" borderId="48" xfId="0" applyFont="1" applyBorder="1" applyAlignment="1">
      <alignment horizontal="left" vertical="center"/>
    </xf>
    <xf numFmtId="38" fontId="69" fillId="0" borderId="125" xfId="49" applyFont="1" applyFill="1" applyBorder="1" applyAlignment="1">
      <alignment horizontal="right" vertical="center" shrinkToFit="1"/>
    </xf>
    <xf numFmtId="38" fontId="69" fillId="0" borderId="42" xfId="49" applyFont="1" applyFill="1" applyBorder="1" applyAlignment="1">
      <alignment horizontal="right" vertical="center" shrinkToFit="1"/>
    </xf>
    <xf numFmtId="38" fontId="69" fillId="0" borderId="126" xfId="49" applyFont="1" applyFill="1" applyBorder="1" applyAlignment="1">
      <alignment horizontal="right" vertical="center" shrinkToFit="1"/>
    </xf>
    <xf numFmtId="38" fontId="69" fillId="0" borderId="14" xfId="49" applyFont="1" applyFill="1" applyBorder="1" applyAlignment="1">
      <alignment horizontal="right" vertical="center" shrinkToFit="1"/>
    </xf>
    <xf numFmtId="38" fontId="64" fillId="35" borderId="58" xfId="49" applyFont="1" applyFill="1" applyBorder="1" applyAlignment="1">
      <alignment horizontal="right" vertical="center"/>
    </xf>
    <xf numFmtId="38" fontId="64" fillId="35" borderId="45" xfId="49" applyFont="1" applyFill="1" applyBorder="1" applyAlignment="1">
      <alignment horizontal="right" vertical="center"/>
    </xf>
    <xf numFmtId="40" fontId="7" fillId="35" borderId="89" xfId="49" applyNumberFormat="1" applyFont="1" applyFill="1" applyBorder="1" applyAlignment="1">
      <alignment vertical="center"/>
    </xf>
    <xf numFmtId="40" fontId="7" fillId="35" borderId="72" xfId="49" applyNumberFormat="1" applyFont="1" applyFill="1" applyBorder="1" applyAlignment="1">
      <alignment vertical="center"/>
    </xf>
    <xf numFmtId="40" fontId="7" fillId="35" borderId="90" xfId="49" applyNumberFormat="1" applyFont="1" applyFill="1" applyBorder="1" applyAlignment="1">
      <alignment vertical="center"/>
    </xf>
    <xf numFmtId="38" fontId="64" fillId="35" borderId="14" xfId="49" applyFont="1" applyFill="1" applyBorder="1" applyAlignment="1">
      <alignment horizontal="right" vertical="center"/>
    </xf>
    <xf numFmtId="38" fontId="64" fillId="35" borderId="15" xfId="49" applyFont="1" applyFill="1" applyBorder="1" applyAlignment="1">
      <alignment horizontal="right" vertical="center"/>
    </xf>
    <xf numFmtId="0" fontId="64" fillId="36" borderId="78" xfId="0" applyFont="1" applyFill="1" applyBorder="1" applyAlignment="1">
      <alignment horizontal="center" vertical="center"/>
    </xf>
    <xf numFmtId="0" fontId="64" fillId="36" borderId="48" xfId="0" applyFont="1" applyFill="1" applyBorder="1" applyAlignment="1">
      <alignment horizontal="center" vertical="center"/>
    </xf>
    <xf numFmtId="0" fontId="64" fillId="0" borderId="127" xfId="0" applyFont="1" applyBorder="1" applyAlignment="1">
      <alignment horizontal="center" vertical="center" textRotation="255" shrinkToFit="1"/>
    </xf>
    <xf numFmtId="0" fontId="64" fillId="0" borderId="128" xfId="0" applyFont="1" applyBorder="1" applyAlignment="1">
      <alignment horizontal="center" vertical="center" textRotation="255" shrinkToFit="1"/>
    </xf>
    <xf numFmtId="0" fontId="74" fillId="0" borderId="129" xfId="0" applyFont="1" applyBorder="1" applyAlignment="1">
      <alignment horizontal="center" vertical="center" textRotation="255" shrinkToFit="1"/>
    </xf>
    <xf numFmtId="0" fontId="74" fillId="0" borderId="130" xfId="0" applyFont="1" applyBorder="1" applyAlignment="1">
      <alignment horizontal="center" vertical="center" textRotation="255" shrinkToFit="1"/>
    </xf>
    <xf numFmtId="0" fontId="74" fillId="0" borderId="131" xfId="0" applyFont="1" applyBorder="1" applyAlignment="1">
      <alignment horizontal="center" vertical="center" textRotation="255" shrinkToFit="1"/>
    </xf>
    <xf numFmtId="0" fontId="64" fillId="0" borderId="82" xfId="0" applyFont="1" applyBorder="1" applyAlignment="1">
      <alignment horizontal="left" vertical="center"/>
    </xf>
    <xf numFmtId="0" fontId="64" fillId="0" borderId="59" xfId="0" applyFont="1" applyBorder="1" applyAlignment="1">
      <alignment horizontal="left" vertical="center"/>
    </xf>
    <xf numFmtId="0" fontId="64" fillId="0" borderId="97" xfId="0" applyFont="1" applyBorder="1" applyAlignment="1">
      <alignment horizontal="left" vertical="center"/>
    </xf>
    <xf numFmtId="0" fontId="64" fillId="0" borderId="10" xfId="0" applyFont="1" applyBorder="1" applyAlignment="1">
      <alignment horizontal="left" vertical="center"/>
    </xf>
    <xf numFmtId="0" fontId="64" fillId="0" borderId="132" xfId="0" applyFont="1" applyBorder="1" applyAlignment="1">
      <alignment horizontal="left" vertical="center"/>
    </xf>
    <xf numFmtId="0" fontId="67" fillId="0" borderId="82" xfId="0" applyFont="1" applyBorder="1" applyAlignment="1">
      <alignment horizontal="center" vertical="center"/>
    </xf>
    <xf numFmtId="0" fontId="67" fillId="0" borderId="59" xfId="0" applyFont="1" applyBorder="1" applyAlignment="1">
      <alignment horizontal="center" vertical="center"/>
    </xf>
    <xf numFmtId="0" fontId="67" fillId="0" borderId="60" xfId="0" applyFont="1" applyBorder="1" applyAlignment="1">
      <alignment horizontal="center" vertical="center"/>
    </xf>
    <xf numFmtId="0" fontId="64" fillId="35" borderId="96" xfId="0" applyFont="1" applyFill="1" applyBorder="1" applyAlignment="1">
      <alignment horizontal="center" vertical="center"/>
    </xf>
    <xf numFmtId="0" fontId="64" fillId="35" borderId="97" xfId="0" applyFont="1" applyFill="1" applyBorder="1" applyAlignment="1">
      <alignment horizontal="center" vertical="center"/>
    </xf>
    <xf numFmtId="0" fontId="64" fillId="35" borderId="10" xfId="0" applyFont="1" applyFill="1" applyBorder="1" applyAlignment="1">
      <alignment horizontal="center" vertical="center"/>
    </xf>
    <xf numFmtId="38" fontId="64" fillId="35" borderId="126" xfId="49" applyFont="1" applyFill="1" applyBorder="1" applyAlignment="1">
      <alignment horizontal="right" vertical="center"/>
    </xf>
    <xf numFmtId="49" fontId="65" fillId="0" borderId="82" xfId="49" applyNumberFormat="1" applyFont="1" applyFill="1" applyBorder="1" applyAlignment="1">
      <alignment horizontal="center" vertical="center"/>
    </xf>
    <xf numFmtId="49" fontId="65" fillId="0" borderId="59" xfId="49" applyNumberFormat="1" applyFont="1" applyFill="1" applyBorder="1" applyAlignment="1">
      <alignment horizontal="center" vertical="center"/>
    </xf>
    <xf numFmtId="49" fontId="65" fillId="0" borderId="60" xfId="49" applyNumberFormat="1" applyFont="1" applyFill="1" applyBorder="1" applyAlignment="1">
      <alignment horizontal="center" vertical="center"/>
    </xf>
    <xf numFmtId="0" fontId="65" fillId="0" borderId="82" xfId="49" applyNumberFormat="1" applyFont="1" applyFill="1" applyBorder="1" applyAlignment="1">
      <alignment horizontal="center" vertical="center"/>
    </xf>
    <xf numFmtId="0" fontId="65" fillId="0" borderId="59" xfId="49" applyNumberFormat="1" applyFont="1" applyFill="1" applyBorder="1" applyAlignment="1">
      <alignment horizontal="center" vertical="center"/>
    </xf>
    <xf numFmtId="0" fontId="65" fillId="0" borderId="88" xfId="49" applyNumberFormat="1" applyFont="1" applyFill="1" applyBorder="1" applyAlignment="1">
      <alignment horizontal="center" vertical="center"/>
    </xf>
    <xf numFmtId="38" fontId="65" fillId="0" borderId="133" xfId="49" applyFont="1" applyFill="1" applyBorder="1" applyAlignment="1">
      <alignment horizontal="center" vertical="center"/>
    </xf>
    <xf numFmtId="38" fontId="65" fillId="0" borderId="134" xfId="49" applyFont="1" applyFill="1" applyBorder="1" applyAlignment="1">
      <alignment horizontal="center" vertical="center"/>
    </xf>
    <xf numFmtId="38" fontId="65" fillId="0" borderId="135" xfId="49" applyFont="1" applyFill="1" applyBorder="1" applyAlignment="1">
      <alignment horizontal="center" vertical="center"/>
    </xf>
    <xf numFmtId="0" fontId="64" fillId="0" borderId="68" xfId="0" applyFont="1" applyBorder="1" applyAlignment="1">
      <alignment horizontal="center" vertical="center"/>
    </xf>
    <xf numFmtId="0" fontId="64" fillId="0" borderId="87" xfId="0" applyFont="1" applyBorder="1" applyAlignment="1">
      <alignment horizontal="center" vertical="center"/>
    </xf>
    <xf numFmtId="0" fontId="64" fillId="0" borderId="79" xfId="0" applyFont="1" applyBorder="1" applyAlignment="1">
      <alignment vertical="center"/>
    </xf>
    <xf numFmtId="0" fontId="64" fillId="0" borderId="68" xfId="0" applyFont="1" applyBorder="1" applyAlignment="1">
      <alignment vertical="center"/>
    </xf>
    <xf numFmtId="0" fontId="64" fillId="0" borderId="69" xfId="0" applyFont="1" applyBorder="1" applyAlignment="1">
      <alignment vertical="center"/>
    </xf>
    <xf numFmtId="38" fontId="65" fillId="0" borderId="77" xfId="49" applyFont="1" applyFill="1" applyBorder="1" applyAlignment="1">
      <alignment horizontal="right" vertical="center"/>
    </xf>
    <xf numFmtId="38" fontId="65" fillId="0" borderId="58" xfId="49" applyFont="1" applyFill="1" applyBorder="1" applyAlignment="1">
      <alignment horizontal="right" vertical="center"/>
    </xf>
    <xf numFmtId="0" fontId="64" fillId="0" borderId="58" xfId="0" applyFont="1" applyBorder="1" applyAlignment="1">
      <alignment horizontal="left" vertical="center"/>
    </xf>
    <xf numFmtId="0" fontId="64" fillId="0" borderId="67" xfId="0" applyFont="1" applyBorder="1" applyAlignment="1">
      <alignment horizontal="left" vertical="center"/>
    </xf>
    <xf numFmtId="0" fontId="64" fillId="0" borderId="136" xfId="0" applyFont="1" applyBorder="1" applyAlignment="1">
      <alignment horizontal="center" vertical="center"/>
    </xf>
    <xf numFmtId="0" fontId="64" fillId="0" borderId="137" xfId="0" applyFont="1" applyBorder="1" applyAlignment="1">
      <alignment horizontal="center" vertical="center"/>
    </xf>
    <xf numFmtId="0" fontId="72" fillId="0" borderId="41" xfId="0" applyFont="1" applyBorder="1" applyAlignment="1">
      <alignment horizontal="left" vertical="center"/>
    </xf>
    <xf numFmtId="0" fontId="72" fillId="0" borderId="13" xfId="0" applyFont="1" applyBorder="1" applyAlignment="1">
      <alignment horizontal="left" vertical="center"/>
    </xf>
    <xf numFmtId="0" fontId="64" fillId="0" borderId="44" xfId="0" applyFont="1" applyBorder="1" applyAlignment="1">
      <alignment horizontal="left" vertical="center"/>
    </xf>
    <xf numFmtId="0" fontId="64" fillId="0" borderId="40" xfId="0" applyFont="1" applyBorder="1" applyAlignment="1">
      <alignment horizontal="left" vertical="center"/>
    </xf>
    <xf numFmtId="0" fontId="64" fillId="0" borderId="93" xfId="0" applyFont="1" applyBorder="1" applyAlignment="1">
      <alignment horizontal="left" vertical="center"/>
    </xf>
    <xf numFmtId="0" fontId="64" fillId="0" borderId="25" xfId="0" applyFont="1" applyBorder="1" applyAlignment="1">
      <alignment horizontal="left" vertical="center"/>
    </xf>
    <xf numFmtId="0" fontId="74" fillId="0" borderId="127" xfId="0" applyFont="1" applyBorder="1" applyAlignment="1">
      <alignment horizontal="center" vertical="center" textRotation="255" shrinkToFit="1"/>
    </xf>
    <xf numFmtId="0" fontId="74" fillId="0" borderId="138" xfId="0" applyFont="1" applyBorder="1" applyAlignment="1">
      <alignment horizontal="center" vertical="center" textRotation="255" shrinkToFit="1"/>
    </xf>
    <xf numFmtId="0" fontId="64" fillId="0" borderId="96" xfId="0" applyFont="1" applyBorder="1" applyAlignment="1">
      <alignment horizontal="left" vertical="center"/>
    </xf>
    <xf numFmtId="0" fontId="64" fillId="0" borderId="78" xfId="0" applyFont="1" applyBorder="1" applyAlignment="1">
      <alignment horizontal="left" vertical="center"/>
    </xf>
    <xf numFmtId="0" fontId="64" fillId="0" borderId="60" xfId="0" applyFont="1" applyBorder="1" applyAlignment="1">
      <alignment horizontal="left" vertical="center"/>
    </xf>
    <xf numFmtId="0" fontId="64" fillId="0" borderId="46" xfId="0" applyFont="1" applyBorder="1" applyAlignment="1">
      <alignment horizontal="left" vertical="center"/>
    </xf>
    <xf numFmtId="0" fontId="64" fillId="0" borderId="12" xfId="0" applyFont="1" applyBorder="1" applyAlignment="1">
      <alignment horizontal="center"/>
    </xf>
    <xf numFmtId="0" fontId="64" fillId="0" borderId="47" xfId="0" applyFont="1" applyBorder="1" applyAlignment="1">
      <alignment horizontal="center"/>
    </xf>
    <xf numFmtId="38" fontId="64" fillId="35" borderId="139" xfId="49" applyFont="1" applyFill="1" applyBorder="1" applyAlignment="1">
      <alignment horizontal="right" vertical="center"/>
    </xf>
    <xf numFmtId="38" fontId="65" fillId="0" borderId="140" xfId="49" applyFont="1" applyFill="1" applyBorder="1" applyAlignment="1">
      <alignment horizontal="right" vertical="center"/>
    </xf>
    <xf numFmtId="38" fontId="65" fillId="0" borderId="31" xfId="49" applyFont="1" applyFill="1" applyBorder="1" applyAlignment="1">
      <alignment horizontal="right" vertical="center"/>
    </xf>
    <xf numFmtId="38" fontId="65" fillId="0" borderId="126" xfId="49" applyFont="1" applyFill="1" applyBorder="1" applyAlignment="1">
      <alignment horizontal="right" vertical="center"/>
    </xf>
    <xf numFmtId="38" fontId="65" fillId="0" borderId="14" xfId="49" applyFont="1" applyFill="1" applyBorder="1" applyAlignment="1">
      <alignment horizontal="right" vertical="center"/>
    </xf>
    <xf numFmtId="38" fontId="64" fillId="35" borderId="79" xfId="49" applyFont="1" applyFill="1" applyBorder="1" applyAlignment="1">
      <alignment horizontal="right" vertical="center"/>
    </xf>
    <xf numFmtId="38" fontId="64" fillId="35" borderId="69" xfId="49" applyFont="1" applyFill="1" applyBorder="1" applyAlignment="1">
      <alignment horizontal="right" vertical="center"/>
    </xf>
    <xf numFmtId="0" fontId="64" fillId="0" borderId="77" xfId="0" applyFont="1" applyBorder="1" applyAlignment="1">
      <alignment horizontal="center" vertical="center"/>
    </xf>
    <xf numFmtId="0" fontId="64" fillId="0" borderId="45" xfId="0" applyFont="1" applyBorder="1" applyAlignment="1">
      <alignment horizontal="center" vertical="center"/>
    </xf>
    <xf numFmtId="0" fontId="68" fillId="0" borderId="11" xfId="0" applyFont="1" applyFill="1" applyBorder="1" applyAlignment="1">
      <alignment horizontal="center" vertical="center" wrapText="1"/>
    </xf>
    <xf numFmtId="0" fontId="68" fillId="0" borderId="0" xfId="0" applyFont="1" applyFill="1" applyBorder="1" applyAlignment="1">
      <alignment horizontal="center" vertical="center" wrapText="1"/>
    </xf>
    <xf numFmtId="38" fontId="65" fillId="0" borderId="141" xfId="49" applyFont="1" applyFill="1" applyBorder="1" applyAlignment="1">
      <alignment horizontal="right" vertical="center"/>
    </xf>
    <xf numFmtId="38" fontId="65" fillId="0" borderId="0" xfId="49" applyFont="1" applyFill="1" applyBorder="1" applyAlignment="1">
      <alignment horizontal="right" vertical="center"/>
    </xf>
    <xf numFmtId="0" fontId="64" fillId="0" borderId="53" xfId="0" applyFont="1" applyBorder="1" applyAlignment="1">
      <alignment horizontal="center"/>
    </xf>
    <xf numFmtId="38" fontId="64" fillId="35" borderId="142" xfId="49" applyFont="1" applyFill="1" applyBorder="1" applyAlignment="1">
      <alignment horizontal="right" vertical="center"/>
    </xf>
    <xf numFmtId="38" fontId="65" fillId="0" borderId="143" xfId="49" applyFont="1" applyBorder="1" applyAlignment="1" applyProtection="1">
      <alignment horizontal="center" vertical="center"/>
      <protection/>
    </xf>
    <xf numFmtId="38" fontId="65" fillId="0" borderId="144" xfId="49" applyFont="1" applyBorder="1" applyAlignment="1" applyProtection="1">
      <alignment horizontal="center" vertical="center"/>
      <protection/>
    </xf>
    <xf numFmtId="38" fontId="65" fillId="0" borderId="145" xfId="49" applyFont="1" applyBorder="1" applyAlignment="1" applyProtection="1">
      <alignment horizontal="center" vertical="center"/>
      <protection/>
    </xf>
    <xf numFmtId="0" fontId="64" fillId="0" borderId="96" xfId="0" applyFont="1" applyBorder="1" applyAlignment="1">
      <alignment horizontal="center" vertical="center"/>
    </xf>
    <xf numFmtId="0" fontId="64" fillId="0" borderId="97" xfId="0" applyFont="1" applyBorder="1" applyAlignment="1">
      <alignment horizontal="center" vertical="center"/>
    </xf>
    <xf numFmtId="0" fontId="64" fillId="0" borderId="10" xfId="0" applyFont="1" applyBorder="1" applyAlignment="1">
      <alignment horizontal="center" vertical="center"/>
    </xf>
    <xf numFmtId="0" fontId="70" fillId="0" borderId="0" xfId="0" applyFont="1" applyFill="1" applyAlignment="1">
      <alignment horizontal="center" vertical="center"/>
    </xf>
    <xf numFmtId="38" fontId="64" fillId="35" borderId="98" xfId="49" applyFont="1" applyFill="1" applyBorder="1" applyAlignment="1">
      <alignment horizontal="right" vertical="center"/>
    </xf>
    <xf numFmtId="0" fontId="64" fillId="0" borderId="98" xfId="0" applyFont="1" applyBorder="1" applyAlignment="1">
      <alignment horizontal="center" vertical="center"/>
    </xf>
    <xf numFmtId="0" fontId="64" fillId="0" borderId="99" xfId="0" applyFont="1" applyBorder="1" applyAlignment="1">
      <alignment horizontal="center" vertical="center"/>
    </xf>
    <xf numFmtId="0" fontId="64" fillId="0" borderId="35" xfId="0" applyFont="1" applyBorder="1" applyAlignment="1">
      <alignment horizontal="center" vertical="center"/>
    </xf>
    <xf numFmtId="0" fontId="64" fillId="0" borderId="146" xfId="0" applyFont="1" applyBorder="1" applyAlignment="1">
      <alignment horizontal="center" vertical="center"/>
    </xf>
    <xf numFmtId="0" fontId="64" fillId="0" borderId="139" xfId="0" applyFont="1" applyBorder="1" applyAlignment="1">
      <alignment horizontal="center" vertical="center"/>
    </xf>
    <xf numFmtId="38" fontId="64" fillId="35" borderId="10" xfId="49" applyFont="1" applyFill="1" applyBorder="1" applyAlignment="1">
      <alignment horizontal="right" vertical="center"/>
    </xf>
    <xf numFmtId="0" fontId="64" fillId="0" borderId="101" xfId="0" applyFont="1" applyBorder="1" applyAlignment="1">
      <alignment horizontal="center" vertical="center"/>
    </xf>
    <xf numFmtId="38" fontId="64" fillId="35" borderId="147" xfId="49" applyFont="1" applyFill="1" applyBorder="1" applyAlignment="1">
      <alignment horizontal="right" vertical="center"/>
    </xf>
    <xf numFmtId="0" fontId="64" fillId="0" borderId="81" xfId="0" applyFont="1" applyBorder="1" applyAlignment="1">
      <alignment horizontal="center" vertical="center"/>
    </xf>
    <xf numFmtId="0" fontId="64" fillId="0" borderId="65" xfId="0" applyFont="1" applyBorder="1" applyAlignment="1">
      <alignment horizontal="center" vertical="center"/>
    </xf>
    <xf numFmtId="0" fontId="64" fillId="0" borderId="66" xfId="0" applyFont="1" applyBorder="1" applyAlignment="1">
      <alignment horizontal="center" vertical="center"/>
    </xf>
    <xf numFmtId="0" fontId="64" fillId="0" borderId="39" xfId="0" applyFont="1" applyBorder="1" applyAlignment="1">
      <alignment horizontal="center" vertical="center"/>
    </xf>
    <xf numFmtId="38" fontId="64" fillId="35" borderId="148" xfId="49" applyFont="1" applyFill="1" applyBorder="1" applyAlignment="1">
      <alignment horizontal="right"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22" xfId="0" applyFont="1" applyBorder="1" applyAlignment="1">
      <alignment horizontal="center" vertical="center"/>
    </xf>
    <xf numFmtId="0" fontId="64" fillId="0" borderId="11" xfId="0" applyFont="1" applyBorder="1" applyAlignment="1">
      <alignment horizontal="center" vertical="center"/>
    </xf>
    <xf numFmtId="0" fontId="64" fillId="0" borderId="0" xfId="0" applyFont="1" applyBorder="1" applyAlignment="1">
      <alignment horizontal="center" vertical="center"/>
    </xf>
    <xf numFmtId="0" fontId="64" fillId="0" borderId="18" xfId="0" applyFont="1" applyBorder="1" applyAlignment="1">
      <alignment horizontal="center" vertical="center"/>
    </xf>
    <xf numFmtId="0" fontId="64" fillId="0" borderId="47" xfId="0" applyFont="1" applyBorder="1" applyAlignment="1">
      <alignment horizontal="center" vertical="center"/>
    </xf>
    <xf numFmtId="0" fontId="68" fillId="0" borderId="81" xfId="0" applyFont="1" applyBorder="1" applyAlignment="1">
      <alignment horizontal="center" vertical="center"/>
    </xf>
    <xf numFmtId="0" fontId="68" fillId="0" borderId="65" xfId="0" applyFont="1" applyBorder="1" applyAlignment="1">
      <alignment horizontal="center" vertical="center"/>
    </xf>
    <xf numFmtId="0" fontId="68" fillId="0" borderId="66" xfId="0" applyFont="1" applyBorder="1" applyAlignment="1">
      <alignment horizontal="center" vertical="center"/>
    </xf>
    <xf numFmtId="0" fontId="64" fillId="0" borderId="149" xfId="0" applyFont="1" applyBorder="1" applyAlignment="1">
      <alignment horizontal="center" vertical="center"/>
    </xf>
    <xf numFmtId="0" fontId="64" fillId="0" borderId="31" xfId="0" applyFont="1" applyBorder="1" applyAlignment="1">
      <alignment horizontal="center" vertical="center"/>
    </xf>
    <xf numFmtId="0" fontId="64" fillId="0" borderId="150" xfId="0" applyFont="1" applyBorder="1" applyAlignment="1">
      <alignment horizontal="center" vertical="center"/>
    </xf>
    <xf numFmtId="0" fontId="64" fillId="0" borderId="151" xfId="0" applyFont="1" applyBorder="1" applyAlignment="1">
      <alignment horizontal="center" vertical="center"/>
    </xf>
    <xf numFmtId="0" fontId="64" fillId="0" borderId="152" xfId="0" applyFont="1" applyBorder="1" applyAlignment="1">
      <alignment horizontal="center" vertical="center"/>
    </xf>
    <xf numFmtId="0" fontId="64" fillId="0" borderId="153" xfId="0" applyFont="1" applyBorder="1" applyAlignment="1">
      <alignment horizontal="center" vertical="center"/>
    </xf>
    <xf numFmtId="0" fontId="64" fillId="0" borderId="154" xfId="0" applyFont="1" applyBorder="1" applyAlignment="1">
      <alignment horizontal="center" vertical="center"/>
    </xf>
    <xf numFmtId="0" fontId="64" fillId="0" borderId="155" xfId="0" applyFont="1" applyBorder="1" applyAlignment="1">
      <alignment horizontal="center" vertical="center"/>
    </xf>
    <xf numFmtId="0" fontId="64" fillId="0" borderId="156" xfId="0" applyFont="1" applyBorder="1" applyAlignment="1">
      <alignment horizontal="center" vertical="center"/>
    </xf>
    <xf numFmtId="0" fontId="65" fillId="36" borderId="86" xfId="0" applyFont="1" applyFill="1" applyBorder="1" applyAlignment="1" applyProtection="1">
      <alignment horizontal="center" vertical="center"/>
      <protection locked="0"/>
    </xf>
    <xf numFmtId="0" fontId="65" fillId="36" borderId="68" xfId="0" applyFont="1" applyFill="1" applyBorder="1" applyAlignment="1" applyProtection="1">
      <alignment horizontal="center" vertical="center"/>
      <protection locked="0"/>
    </xf>
    <xf numFmtId="0" fontId="65" fillId="36" borderId="69" xfId="0" applyFont="1" applyFill="1" applyBorder="1" applyAlignment="1" applyProtection="1">
      <alignment horizontal="center" vertical="center"/>
      <protection locked="0"/>
    </xf>
    <xf numFmtId="0" fontId="64" fillId="0" borderId="157" xfId="0" applyFont="1" applyBorder="1" applyAlignment="1">
      <alignment horizontal="center" vertical="center"/>
    </xf>
    <xf numFmtId="0" fontId="64" fillId="0" borderId="147" xfId="0" applyFont="1" applyBorder="1" applyAlignment="1">
      <alignment horizontal="center" vertical="center"/>
    </xf>
    <xf numFmtId="38" fontId="65" fillId="36" borderId="140" xfId="49" applyFont="1" applyFill="1" applyBorder="1" applyAlignment="1" applyProtection="1">
      <alignment horizontal="right" vertical="center"/>
      <protection locked="0"/>
    </xf>
    <xf numFmtId="38" fontId="65" fillId="36" borderId="31" xfId="49" applyFont="1" applyFill="1" applyBorder="1" applyAlignment="1" applyProtection="1">
      <alignment horizontal="right" vertical="center"/>
      <protection locked="0"/>
    </xf>
    <xf numFmtId="38" fontId="65" fillId="36" borderId="126" xfId="49" applyFont="1" applyFill="1" applyBorder="1" applyAlignment="1" applyProtection="1">
      <alignment horizontal="right" vertical="center"/>
      <protection locked="0"/>
    </xf>
    <xf numFmtId="38" fontId="65" fillId="36" borderId="14" xfId="49" applyFont="1" applyFill="1" applyBorder="1" applyAlignment="1" applyProtection="1">
      <alignment horizontal="right" vertical="center"/>
      <protection locked="0"/>
    </xf>
    <xf numFmtId="0" fontId="64" fillId="0" borderId="158" xfId="0" applyFont="1" applyBorder="1" applyAlignment="1">
      <alignment horizontal="center" vertical="center"/>
    </xf>
    <xf numFmtId="38" fontId="65" fillId="36" borderId="158" xfId="49" applyFont="1" applyFill="1" applyBorder="1" applyAlignment="1" applyProtection="1">
      <alignment horizontal="right" vertical="center"/>
      <protection locked="0"/>
    </xf>
    <xf numFmtId="38" fontId="65" fillId="36" borderId="113" xfId="49" applyFont="1" applyFill="1" applyBorder="1" applyAlignment="1" applyProtection="1">
      <alignment horizontal="right" vertical="center"/>
      <protection locked="0"/>
    </xf>
    <xf numFmtId="0" fontId="64" fillId="0" borderId="78" xfId="0" applyFont="1" applyBorder="1" applyAlignment="1">
      <alignment horizontal="center" vertical="center"/>
    </xf>
    <xf numFmtId="0" fontId="64" fillId="0" borderId="16" xfId="0" applyFont="1" applyBorder="1" applyAlignment="1">
      <alignment horizontal="center" vertical="center"/>
    </xf>
    <xf numFmtId="0" fontId="4" fillId="0" borderId="16" xfId="0" applyFont="1" applyBorder="1" applyAlignment="1">
      <alignment horizontal="left" vertical="center"/>
    </xf>
    <xf numFmtId="49" fontId="64" fillId="0" borderId="122" xfId="0" applyNumberFormat="1" applyFont="1" applyBorder="1" applyAlignment="1">
      <alignment horizontal="center" vertical="center"/>
    </xf>
    <xf numFmtId="49" fontId="64" fillId="0" borderId="117" xfId="0" applyNumberFormat="1" applyFont="1" applyBorder="1" applyAlignment="1">
      <alignment horizontal="center" vertical="center"/>
    </xf>
    <xf numFmtId="49" fontId="64" fillId="0" borderId="11" xfId="0" applyNumberFormat="1" applyFont="1" applyBorder="1" applyAlignment="1">
      <alignment horizontal="center" vertical="center"/>
    </xf>
    <xf numFmtId="49" fontId="64" fillId="0" borderId="0" xfId="0" applyNumberFormat="1" applyFont="1" applyBorder="1" applyAlignment="1">
      <alignment horizontal="center" vertical="center"/>
    </xf>
    <xf numFmtId="49" fontId="64" fillId="0" borderId="117" xfId="0" applyNumberFormat="1" applyFont="1" applyBorder="1" applyAlignment="1">
      <alignment horizontal="left" vertical="center"/>
    </xf>
    <xf numFmtId="49" fontId="64" fillId="0" borderId="123" xfId="0" applyNumberFormat="1" applyFont="1" applyBorder="1" applyAlignment="1">
      <alignment horizontal="left" vertical="center"/>
    </xf>
    <xf numFmtId="49" fontId="64" fillId="0" borderId="97" xfId="0" applyNumberFormat="1" applyFont="1" applyBorder="1" applyAlignment="1">
      <alignment horizontal="left" vertical="center"/>
    </xf>
    <xf numFmtId="49" fontId="64" fillId="0" borderId="10" xfId="0" applyNumberFormat="1" applyFont="1" applyBorder="1" applyAlignment="1">
      <alignment horizontal="left" vertical="center"/>
    </xf>
    <xf numFmtId="38" fontId="65" fillId="36" borderId="125" xfId="49" applyFont="1" applyFill="1" applyBorder="1" applyAlignment="1" applyProtection="1">
      <alignment horizontal="right" vertical="center"/>
      <protection locked="0"/>
    </xf>
    <xf numFmtId="38" fontId="65" fillId="36" borderId="42" xfId="49" applyFont="1" applyFill="1" applyBorder="1" applyAlignment="1" applyProtection="1">
      <alignment horizontal="right" vertical="center"/>
      <protection locked="0"/>
    </xf>
    <xf numFmtId="38" fontId="65" fillId="36" borderId="96" xfId="49" applyFont="1" applyFill="1" applyBorder="1" applyAlignment="1" applyProtection="1">
      <alignment horizontal="right" vertical="center"/>
      <protection locked="0"/>
    </xf>
    <xf numFmtId="38" fontId="65" fillId="36" borderId="97" xfId="49" applyFont="1" applyFill="1" applyBorder="1" applyAlignment="1" applyProtection="1">
      <alignment horizontal="right" vertical="center"/>
      <protection locked="0"/>
    </xf>
    <xf numFmtId="0" fontId="64" fillId="0" borderId="159" xfId="0" applyFont="1" applyBorder="1" applyAlignment="1">
      <alignment horizontal="center" vertical="center"/>
    </xf>
    <xf numFmtId="38" fontId="65" fillId="36" borderId="160" xfId="49" applyFont="1" applyFill="1" applyBorder="1" applyAlignment="1" applyProtection="1">
      <alignment horizontal="right" vertical="center"/>
      <protection locked="0"/>
    </xf>
    <xf numFmtId="38" fontId="65" fillId="36" borderId="161" xfId="49" applyFont="1" applyFill="1" applyBorder="1" applyAlignment="1" applyProtection="1">
      <alignment horizontal="right" vertical="center"/>
      <protection locked="0"/>
    </xf>
    <xf numFmtId="0" fontId="64" fillId="0" borderId="141" xfId="0" applyFont="1" applyBorder="1" applyAlignment="1">
      <alignment horizontal="center" vertical="center"/>
    </xf>
    <xf numFmtId="0" fontId="64" fillId="0" borderId="126" xfId="0" applyFont="1" applyBorder="1" applyAlignment="1">
      <alignment horizontal="center" vertical="center"/>
    </xf>
    <xf numFmtId="0" fontId="66" fillId="0" borderId="140" xfId="0" applyFont="1" applyFill="1" applyBorder="1" applyAlignment="1">
      <alignment horizontal="center" vertical="center" wrapText="1"/>
    </xf>
    <xf numFmtId="0" fontId="66" fillId="0" borderId="31" xfId="0" applyFont="1" applyFill="1" applyBorder="1" applyAlignment="1">
      <alignment horizontal="center" vertical="center" wrapText="1"/>
    </xf>
    <xf numFmtId="0" fontId="66" fillId="0" borderId="141"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96" xfId="0" applyFont="1" applyFill="1" applyBorder="1" applyAlignment="1">
      <alignment horizontal="center" vertical="center" wrapText="1"/>
    </xf>
    <xf numFmtId="0" fontId="66" fillId="0" borderId="97" xfId="0" applyFont="1" applyFill="1" applyBorder="1" applyAlignment="1">
      <alignment horizontal="center" vertical="center" wrapText="1"/>
    </xf>
    <xf numFmtId="0" fontId="64" fillId="0" borderId="162" xfId="0" applyFont="1" applyBorder="1" applyAlignment="1">
      <alignment horizontal="center" vertical="center"/>
    </xf>
    <xf numFmtId="0" fontId="64" fillId="0" borderId="161" xfId="0" applyFont="1" applyBorder="1" applyAlignment="1">
      <alignment horizontal="center" vertical="center"/>
    </xf>
    <xf numFmtId="0" fontId="64" fillId="0" borderId="20" xfId="0" applyFont="1" applyBorder="1" applyAlignment="1">
      <alignment horizontal="center" vertical="center"/>
    </xf>
    <xf numFmtId="0" fontId="65" fillId="36" borderId="140" xfId="0" applyFont="1" applyFill="1" applyBorder="1" applyAlignment="1" applyProtection="1">
      <alignment horizontal="center" vertical="center"/>
      <protection locked="0"/>
    </xf>
    <xf numFmtId="0" fontId="65" fillId="36" borderId="31" xfId="0" applyFont="1" applyFill="1" applyBorder="1" applyAlignment="1" applyProtection="1">
      <alignment horizontal="center" vertical="center"/>
      <protection locked="0"/>
    </xf>
    <xf numFmtId="0" fontId="65" fillId="36" borderId="150" xfId="0" applyFont="1" applyFill="1" applyBorder="1" applyAlignment="1" applyProtection="1">
      <alignment horizontal="center" vertical="center"/>
      <protection locked="0"/>
    </xf>
    <xf numFmtId="38" fontId="65" fillId="0" borderId="125" xfId="49" applyFont="1" applyFill="1" applyBorder="1" applyAlignment="1" applyProtection="1">
      <alignment horizontal="right" vertical="center"/>
      <protection/>
    </xf>
    <xf numFmtId="38" fontId="65" fillId="0" borderId="42" xfId="49" applyFont="1" applyFill="1" applyBorder="1" applyAlignment="1" applyProtection="1">
      <alignment horizontal="right" vertical="center"/>
      <protection/>
    </xf>
    <xf numFmtId="38" fontId="65" fillId="0" borderId="96" xfId="49" applyFont="1" applyFill="1" applyBorder="1" applyAlignment="1" applyProtection="1">
      <alignment horizontal="right" vertical="center"/>
      <protection/>
    </xf>
    <xf numFmtId="38" fontId="65" fillId="0" borderId="97" xfId="49" applyFont="1" applyFill="1" applyBorder="1" applyAlignment="1" applyProtection="1">
      <alignment horizontal="right" vertical="center"/>
      <protection/>
    </xf>
    <xf numFmtId="0" fontId="64" fillId="0" borderId="163" xfId="0" applyFont="1" applyBorder="1" applyAlignment="1">
      <alignment horizontal="center" vertical="center"/>
    </xf>
    <xf numFmtId="0" fontId="64" fillId="0" borderId="164" xfId="0" applyFont="1" applyBorder="1" applyAlignment="1">
      <alignment horizontal="center" vertical="center"/>
    </xf>
    <xf numFmtId="0" fontId="64" fillId="0" borderId="165" xfId="0" applyFont="1" applyBorder="1" applyAlignment="1">
      <alignment horizontal="center" vertical="center"/>
    </xf>
    <xf numFmtId="0" fontId="64" fillId="0" borderId="140" xfId="0" applyFont="1" applyBorder="1" applyAlignment="1">
      <alignment horizontal="center" vertical="center"/>
    </xf>
    <xf numFmtId="38" fontId="65" fillId="36" borderId="78" xfId="49" applyFont="1" applyFill="1" applyBorder="1" applyAlignment="1" applyProtection="1">
      <alignment horizontal="right" vertical="center"/>
      <protection locked="0"/>
    </xf>
    <xf numFmtId="38" fontId="65" fillId="36" borderId="16" xfId="49" applyFont="1" applyFill="1" applyBorder="1" applyAlignment="1" applyProtection="1">
      <alignment horizontal="right" vertical="center"/>
      <protection locked="0"/>
    </xf>
    <xf numFmtId="0" fontId="64" fillId="0" borderId="41" xfId="0" applyFont="1" applyBorder="1" applyAlignment="1">
      <alignment horizontal="center" vertical="center"/>
    </xf>
    <xf numFmtId="0" fontId="64" fillId="0" borderId="42" xfId="0" applyFont="1" applyBorder="1" applyAlignment="1">
      <alignment horizontal="center" vertical="center"/>
    </xf>
    <xf numFmtId="0" fontId="64" fillId="0" borderId="51" xfId="0" applyFont="1" applyBorder="1" applyAlignment="1">
      <alignment horizontal="center" vertical="center"/>
    </xf>
    <xf numFmtId="0" fontId="64" fillId="0" borderId="138" xfId="0" applyFont="1" applyBorder="1" applyAlignment="1">
      <alignment horizontal="center" vertical="center"/>
    </xf>
    <xf numFmtId="0" fontId="64" fillId="0" borderId="128" xfId="0" applyFont="1" applyBorder="1" applyAlignment="1">
      <alignment horizontal="center" vertical="center"/>
    </xf>
    <xf numFmtId="49" fontId="64" fillId="0" borderId="136" xfId="0" applyNumberFormat="1" applyFont="1" applyBorder="1" applyAlignment="1">
      <alignment horizontal="left" vertical="center"/>
    </xf>
    <xf numFmtId="49" fontId="64" fillId="0" borderId="47" xfId="0" applyNumberFormat="1" applyFont="1" applyBorder="1" applyAlignment="1">
      <alignment horizontal="left" vertical="center"/>
    </xf>
    <xf numFmtId="0" fontId="64" fillId="0" borderId="86" xfId="0" applyFont="1" applyBorder="1" applyAlignment="1">
      <alignment horizontal="center" vertical="center"/>
    </xf>
    <xf numFmtId="0" fontId="64" fillId="0" borderId="69" xfId="0" applyFont="1" applyBorder="1" applyAlignment="1">
      <alignment horizontal="center" vertical="center"/>
    </xf>
    <xf numFmtId="0" fontId="64" fillId="0" borderId="48" xfId="0" applyFont="1" applyBorder="1" applyAlignment="1">
      <alignment horizontal="center" vertical="center"/>
    </xf>
    <xf numFmtId="0" fontId="64" fillId="0" borderId="150" xfId="0" applyFont="1" applyBorder="1" applyAlignment="1">
      <alignment horizontal="center"/>
    </xf>
    <xf numFmtId="0" fontId="64" fillId="0" borderId="10" xfId="0" applyFont="1" applyBorder="1" applyAlignment="1">
      <alignment horizontal="center"/>
    </xf>
    <xf numFmtId="0" fontId="65" fillId="36" borderId="78" xfId="0" applyFont="1" applyFill="1" applyBorder="1" applyAlignment="1" applyProtection="1">
      <alignment horizontal="center" vertical="center"/>
      <protection locked="0"/>
    </xf>
    <xf numFmtId="0" fontId="65" fillId="36" borderId="16" xfId="0" applyFont="1" applyFill="1" applyBorder="1" applyAlignment="1" applyProtection="1">
      <alignment horizontal="center" vertical="center"/>
      <protection locked="0"/>
    </xf>
    <xf numFmtId="0" fontId="65" fillId="36" borderId="115" xfId="0" applyFont="1" applyFill="1" applyBorder="1" applyAlignment="1" applyProtection="1">
      <alignment horizontal="center" vertical="center"/>
      <protection locked="0"/>
    </xf>
    <xf numFmtId="38" fontId="65" fillId="0" borderId="32" xfId="49" applyFont="1" applyFill="1" applyBorder="1" applyAlignment="1" applyProtection="1">
      <alignment horizontal="right" vertical="center"/>
      <protection/>
    </xf>
    <xf numFmtId="38" fontId="65" fillId="0" borderId="115" xfId="49" applyFont="1" applyFill="1" applyBorder="1" applyAlignment="1" applyProtection="1">
      <alignment horizontal="right" vertical="center"/>
      <protection/>
    </xf>
    <xf numFmtId="0" fontId="64" fillId="0" borderId="32" xfId="0" applyFont="1" applyBorder="1" applyAlignment="1">
      <alignment horizontal="center" vertical="center"/>
    </xf>
    <xf numFmtId="0" fontId="64" fillId="0" borderId="166" xfId="0" applyFont="1" applyBorder="1" applyAlignment="1">
      <alignment horizontal="center" vertical="center"/>
    </xf>
    <xf numFmtId="38" fontId="65" fillId="0" borderId="116" xfId="49" applyFont="1" applyFill="1" applyBorder="1" applyAlignment="1">
      <alignment horizontal="right" vertical="center"/>
    </xf>
    <xf numFmtId="38" fontId="65" fillId="0" borderId="117" xfId="49" applyFont="1" applyFill="1" applyBorder="1" applyAlignment="1">
      <alignment horizontal="right" vertical="center"/>
    </xf>
    <xf numFmtId="0" fontId="70" fillId="0" borderId="0" xfId="0" applyFont="1" applyFill="1" applyAlignment="1">
      <alignment horizontal="left" vertical="center"/>
    </xf>
    <xf numFmtId="0" fontId="64" fillId="0" borderId="27" xfId="0" applyFont="1" applyBorder="1" applyAlignment="1">
      <alignment horizontal="center" vertical="center"/>
    </xf>
    <xf numFmtId="0" fontId="64" fillId="0" borderId="25" xfId="0" applyFont="1" applyBorder="1" applyAlignment="1">
      <alignment horizontal="center" vertical="center"/>
    </xf>
    <xf numFmtId="0" fontId="64" fillId="0" borderId="136" xfId="0" applyFont="1" applyBorder="1" applyAlignment="1">
      <alignment horizontal="center"/>
    </xf>
    <xf numFmtId="0" fontId="64" fillId="0" borderId="15" xfId="0" applyFont="1" applyBorder="1" applyAlignment="1">
      <alignment horizontal="center"/>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51" xfId="0" applyFont="1" applyBorder="1" applyAlignment="1">
      <alignment horizontal="center" vertical="center" wrapText="1"/>
    </xf>
    <xf numFmtId="38" fontId="64" fillId="35" borderId="95" xfId="49" applyFont="1" applyFill="1" applyBorder="1" applyAlignment="1">
      <alignment horizontal="right" vertical="center"/>
    </xf>
    <xf numFmtId="38" fontId="64" fillId="35" borderId="70" xfId="49" applyFont="1" applyFill="1" applyBorder="1" applyAlignment="1">
      <alignment horizontal="right" vertical="center"/>
    </xf>
    <xf numFmtId="38" fontId="64" fillId="35" borderId="94" xfId="49" applyFont="1" applyFill="1" applyBorder="1" applyAlignment="1">
      <alignment horizontal="right" vertical="center"/>
    </xf>
    <xf numFmtId="38" fontId="64" fillId="35" borderId="70" xfId="49" applyFont="1" applyFill="1" applyBorder="1" applyAlignment="1">
      <alignment vertical="center"/>
    </xf>
    <xf numFmtId="38" fontId="64" fillId="35" borderId="94" xfId="49" applyFont="1" applyFill="1" applyBorder="1" applyAlignment="1">
      <alignment vertical="center"/>
    </xf>
    <xf numFmtId="40" fontId="7" fillId="35" borderId="59" xfId="49" applyNumberFormat="1" applyFont="1" applyFill="1" applyBorder="1" applyAlignment="1">
      <alignment vertical="center"/>
    </xf>
    <xf numFmtId="40" fontId="7" fillId="35" borderId="88" xfId="49" applyNumberFormat="1" applyFont="1" applyFill="1" applyBorder="1" applyAlignment="1">
      <alignment vertical="center"/>
    </xf>
    <xf numFmtId="40" fontId="64" fillId="35" borderId="24" xfId="49" applyNumberFormat="1" applyFont="1" applyFill="1" applyBorder="1" applyAlignment="1">
      <alignment vertical="center"/>
    </xf>
    <xf numFmtId="40" fontId="64" fillId="35" borderId="104" xfId="49" applyNumberFormat="1" applyFont="1" applyFill="1" applyBorder="1" applyAlignment="1">
      <alignment vertical="center"/>
    </xf>
    <xf numFmtId="0" fontId="64" fillId="0" borderId="46" xfId="0" applyFont="1" applyBorder="1" applyAlignment="1">
      <alignment horizontal="center" vertical="center"/>
    </xf>
    <xf numFmtId="0" fontId="64" fillId="0" borderId="31" xfId="0" applyFont="1" applyBorder="1" applyAlignment="1">
      <alignment horizontal="center" vertical="center" wrapText="1"/>
    </xf>
    <xf numFmtId="0" fontId="65" fillId="36" borderId="141" xfId="0" applyFont="1" applyFill="1" applyBorder="1" applyAlignment="1" applyProtection="1">
      <alignment horizontal="center" vertical="center"/>
      <protection locked="0"/>
    </xf>
    <xf numFmtId="0" fontId="65" fillId="36" borderId="96" xfId="0" applyFont="1" applyFill="1" applyBorder="1" applyAlignment="1" applyProtection="1">
      <alignment horizontal="center" vertical="center"/>
      <protection locked="0"/>
    </xf>
    <xf numFmtId="0" fontId="65" fillId="36" borderId="97" xfId="0" applyFont="1" applyFill="1" applyBorder="1" applyAlignment="1" applyProtection="1">
      <alignment horizontal="center" vertical="center"/>
      <protection locked="0"/>
    </xf>
    <xf numFmtId="0" fontId="65" fillId="36" borderId="10" xfId="0" applyFont="1" applyFill="1" applyBorder="1" applyAlignment="1" applyProtection="1">
      <alignment horizontal="center" vertical="center"/>
      <protection locked="0"/>
    </xf>
    <xf numFmtId="0" fontId="64" fillId="35" borderId="32" xfId="0" applyFont="1" applyFill="1" applyBorder="1" applyAlignment="1">
      <alignment horizontal="right" vertical="center"/>
    </xf>
    <xf numFmtId="0" fontId="64" fillId="35" borderId="115" xfId="0" applyFont="1" applyFill="1" applyBorder="1" applyAlignment="1">
      <alignment horizontal="right" vertical="center"/>
    </xf>
    <xf numFmtId="0" fontId="64" fillId="35" borderId="34" xfId="0" applyFont="1" applyFill="1" applyBorder="1" applyAlignment="1">
      <alignment horizontal="right" vertical="center"/>
    </xf>
    <xf numFmtId="0" fontId="78" fillId="0" borderId="12" xfId="0" applyFont="1" applyBorder="1" applyAlignment="1">
      <alignment horizontal="center" vertical="center"/>
    </xf>
    <xf numFmtId="0" fontId="64" fillId="0" borderId="38" xfId="0" applyFont="1" applyBorder="1" applyAlignment="1">
      <alignment horizontal="center" vertical="center"/>
    </xf>
    <xf numFmtId="0" fontId="64" fillId="0" borderId="70" xfId="0" applyFont="1" applyBorder="1" applyAlignment="1">
      <alignment horizontal="center" vertical="center"/>
    </xf>
    <xf numFmtId="0" fontId="64" fillId="0" borderId="71" xfId="0" applyFont="1" applyBorder="1" applyAlignment="1">
      <alignment horizontal="center" vertical="center"/>
    </xf>
    <xf numFmtId="38" fontId="65" fillId="0" borderId="105" xfId="49" applyFont="1" applyFill="1" applyBorder="1" applyAlignment="1" applyProtection="1">
      <alignment horizontal="right" vertical="center"/>
      <protection/>
    </xf>
    <xf numFmtId="38" fontId="65" fillId="0" borderId="99" xfId="49" applyFont="1" applyFill="1" applyBorder="1" applyAlignment="1" applyProtection="1">
      <alignment horizontal="right" vertical="center"/>
      <protection/>
    </xf>
    <xf numFmtId="38" fontId="65" fillId="0" borderId="119" xfId="49" applyFont="1" applyFill="1" applyBorder="1" applyAlignment="1" applyProtection="1">
      <alignment horizontal="center" vertical="center"/>
      <protection/>
    </xf>
    <xf numFmtId="38" fontId="65" fillId="0" borderId="120" xfId="49" applyFont="1" applyFill="1" applyBorder="1" applyAlignment="1" applyProtection="1">
      <alignment horizontal="center" vertical="center"/>
      <protection/>
    </xf>
    <xf numFmtId="38" fontId="65" fillId="0" borderId="167" xfId="49" applyFont="1" applyFill="1" applyBorder="1" applyAlignment="1" applyProtection="1">
      <alignment horizontal="center" vertical="center"/>
      <protection/>
    </xf>
    <xf numFmtId="0" fontId="64" fillId="35" borderId="168" xfId="0" applyFont="1" applyFill="1" applyBorder="1" applyAlignment="1">
      <alignment horizontal="center" vertical="center"/>
    </xf>
    <xf numFmtId="0" fontId="64" fillId="35" borderId="169" xfId="0" applyFont="1" applyFill="1" applyBorder="1" applyAlignment="1">
      <alignment horizontal="center" vertical="center"/>
    </xf>
    <xf numFmtId="0" fontId="64" fillId="35" borderId="170" xfId="0" applyFont="1" applyFill="1" applyBorder="1" applyAlignment="1">
      <alignment horizontal="center" vertical="center"/>
    </xf>
    <xf numFmtId="0" fontId="64" fillId="35" borderId="95" xfId="0" applyFont="1" applyFill="1" applyBorder="1" applyAlignment="1">
      <alignment horizontal="center" vertical="center"/>
    </xf>
    <xf numFmtId="0" fontId="64" fillId="35" borderId="70" xfId="0" applyFont="1" applyFill="1" applyBorder="1" applyAlignment="1">
      <alignment horizontal="center" vertical="center"/>
    </xf>
    <xf numFmtId="0" fontId="64" fillId="35" borderId="71" xfId="0" applyFont="1" applyFill="1" applyBorder="1" applyAlignment="1">
      <alignment horizontal="center" vertical="center"/>
    </xf>
    <xf numFmtId="0" fontId="64" fillId="35" borderId="160" xfId="0" applyFont="1" applyFill="1" applyBorder="1" applyAlignment="1">
      <alignment horizontal="right" vertical="center"/>
    </xf>
    <xf numFmtId="0" fontId="64" fillId="35" borderId="161" xfId="0" applyFont="1" applyFill="1" applyBorder="1" applyAlignment="1">
      <alignment horizontal="right" vertical="center"/>
    </xf>
    <xf numFmtId="0" fontId="64" fillId="35" borderId="171" xfId="0" applyFont="1" applyFill="1" applyBorder="1" applyAlignment="1">
      <alignment horizontal="right" vertical="center"/>
    </xf>
    <xf numFmtId="0" fontId="64" fillId="0" borderId="29" xfId="0" applyFont="1" applyBorder="1" applyAlignment="1">
      <alignment horizontal="center" vertical="center"/>
    </xf>
    <xf numFmtId="0" fontId="64" fillId="0" borderId="28" xfId="0" applyFont="1" applyBorder="1" applyAlignment="1">
      <alignment horizontal="center" vertical="center"/>
    </xf>
    <xf numFmtId="0" fontId="64" fillId="0" borderId="64" xfId="0" applyFont="1" applyBorder="1" applyAlignment="1">
      <alignment horizontal="center" vertical="center"/>
    </xf>
    <xf numFmtId="0" fontId="64" fillId="0" borderId="98" xfId="0" applyFont="1" applyBorder="1" applyAlignment="1">
      <alignment horizontal="center" vertical="center" shrinkToFit="1"/>
    </xf>
    <xf numFmtId="0" fontId="64" fillId="0" borderId="99" xfId="0" applyFont="1" applyBorder="1" applyAlignment="1">
      <alignment horizontal="center" vertical="center" shrinkToFit="1"/>
    </xf>
    <xf numFmtId="0" fontId="64" fillId="0" borderId="51" xfId="0" applyFont="1" applyBorder="1" applyAlignment="1">
      <alignment horizontal="center"/>
    </xf>
    <xf numFmtId="0" fontId="64" fillId="36" borderId="172" xfId="0" applyFont="1" applyFill="1" applyBorder="1" applyAlignment="1" applyProtection="1">
      <alignment horizontal="center" vertical="center"/>
      <protection locked="0"/>
    </xf>
    <xf numFmtId="0" fontId="64" fillId="36" borderId="111" xfId="0" applyFont="1" applyFill="1" applyBorder="1" applyAlignment="1" applyProtection="1">
      <alignment horizontal="center" vertical="center"/>
      <protection locked="0"/>
    </xf>
    <xf numFmtId="0" fontId="64" fillId="36" borderId="57" xfId="0" applyFont="1" applyFill="1" applyBorder="1" applyAlignment="1" applyProtection="1">
      <alignment horizontal="center" vertical="center"/>
      <protection locked="0"/>
    </xf>
    <xf numFmtId="38" fontId="65" fillId="36" borderId="74" xfId="49" applyFont="1" applyFill="1" applyBorder="1" applyAlignment="1" applyProtection="1">
      <alignment horizontal="right" vertical="center"/>
      <protection locked="0"/>
    </xf>
    <xf numFmtId="38" fontId="65" fillId="36" borderId="75" xfId="49" applyFont="1" applyFill="1" applyBorder="1" applyAlignment="1" applyProtection="1">
      <alignment horizontal="right" vertical="center"/>
      <protection locked="0"/>
    </xf>
    <xf numFmtId="0" fontId="64" fillId="0" borderId="43" xfId="0" applyFont="1" applyBorder="1" applyAlignment="1">
      <alignment horizontal="center"/>
    </xf>
    <xf numFmtId="38" fontId="65" fillId="0" borderId="140" xfId="49" applyFont="1" applyFill="1" applyBorder="1" applyAlignment="1" applyProtection="1">
      <alignment horizontal="right" vertical="center"/>
      <protection/>
    </xf>
    <xf numFmtId="38" fontId="65" fillId="0" borderId="31" xfId="49" applyFont="1" applyFill="1" applyBorder="1" applyAlignment="1" applyProtection="1">
      <alignment horizontal="right" vertical="center"/>
      <protection/>
    </xf>
    <xf numFmtId="38" fontId="65" fillId="0" borderId="158" xfId="49" applyFont="1" applyFill="1" applyBorder="1" applyAlignment="1" applyProtection="1">
      <alignment horizontal="right" vertical="center"/>
      <protection/>
    </xf>
    <xf numFmtId="38" fontId="65" fillId="0" borderId="113" xfId="49" applyFont="1" applyFill="1" applyBorder="1" applyAlignment="1" applyProtection="1">
      <alignment horizontal="right" vertical="center"/>
      <protection/>
    </xf>
    <xf numFmtId="0" fontId="80" fillId="0" borderId="0" xfId="0" applyFont="1" applyAlignment="1">
      <alignment horizontal="center" vertical="center"/>
    </xf>
    <xf numFmtId="0" fontId="81" fillId="0" borderId="0" xfId="0" applyFont="1" applyAlignment="1">
      <alignment horizontal="center" vertical="center"/>
    </xf>
    <xf numFmtId="0" fontId="71" fillId="0" borderId="0" xfId="0" applyFont="1" applyAlignment="1">
      <alignment horizontal="center" vertical="center"/>
    </xf>
    <xf numFmtId="0" fontId="74" fillId="0" borderId="14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150" xfId="0" applyFont="1" applyBorder="1" applyAlignment="1">
      <alignment horizontal="center" vertical="center" wrapText="1"/>
    </xf>
    <xf numFmtId="0" fontId="74" fillId="0" borderId="96" xfId="0" applyFont="1" applyBorder="1" applyAlignment="1">
      <alignment horizontal="center" vertical="center" wrapText="1"/>
    </xf>
    <xf numFmtId="0" fontId="74" fillId="0" borderId="97" xfId="0" applyFont="1" applyBorder="1" applyAlignment="1">
      <alignment horizontal="center" vertical="center" wrapText="1"/>
    </xf>
    <xf numFmtId="0" fontId="74" fillId="0" borderId="10" xfId="0" applyFont="1" applyBorder="1" applyAlignment="1">
      <alignment horizontal="center" vertical="center" wrapText="1"/>
    </xf>
    <xf numFmtId="0" fontId="64" fillId="0" borderId="140" xfId="0" applyFont="1" applyBorder="1" applyAlignment="1">
      <alignment horizontal="center" vertical="center" wrapText="1"/>
    </xf>
    <xf numFmtId="0" fontId="70" fillId="0" borderId="173" xfId="0" applyFont="1" applyBorder="1" applyAlignment="1">
      <alignment horizontal="center" vertical="center"/>
    </xf>
    <xf numFmtId="0" fontId="70" fillId="0" borderId="31" xfId="0" applyFont="1" applyBorder="1" applyAlignment="1">
      <alignment horizontal="center" vertical="center"/>
    </xf>
    <xf numFmtId="0" fontId="70" fillId="0" borderId="150" xfId="0" applyFont="1" applyBorder="1" applyAlignment="1">
      <alignment horizontal="center" vertical="center"/>
    </xf>
    <xf numFmtId="0" fontId="70" fillId="0" borderId="174" xfId="0" applyFont="1" applyBorder="1" applyAlignment="1">
      <alignment horizontal="center" vertical="center"/>
    </xf>
    <xf numFmtId="0" fontId="70" fillId="0" borderId="97" xfId="0" applyFont="1" applyBorder="1" applyAlignment="1">
      <alignment horizontal="center" vertical="center"/>
    </xf>
    <xf numFmtId="0" fontId="70" fillId="0" borderId="10" xfId="0" applyFont="1" applyBorder="1" applyAlignment="1">
      <alignment horizontal="center" vertical="center"/>
    </xf>
    <xf numFmtId="0" fontId="64" fillId="0" borderId="54" xfId="0" applyFont="1" applyBorder="1" applyAlignment="1">
      <alignment horizontal="center" vertical="center" shrinkToFit="1"/>
    </xf>
    <xf numFmtId="0" fontId="64" fillId="0" borderId="55" xfId="0" applyFont="1" applyBorder="1" applyAlignment="1">
      <alignment horizontal="center" vertical="center" shrinkToFit="1"/>
    </xf>
    <xf numFmtId="0" fontId="64" fillId="0" borderId="27" xfId="0" applyFont="1" applyBorder="1" applyAlignment="1">
      <alignment horizontal="center" vertical="center" shrinkToFit="1"/>
    </xf>
    <xf numFmtId="0" fontId="64" fillId="0" borderId="25" xfId="0" applyFont="1" applyBorder="1" applyAlignment="1">
      <alignment horizontal="center" vertical="center" shrinkToFit="1"/>
    </xf>
    <xf numFmtId="0" fontId="64" fillId="0" borderId="29" xfId="0" applyFont="1" applyBorder="1" applyAlignment="1">
      <alignment horizontal="center" vertical="center" shrinkToFit="1"/>
    </xf>
    <xf numFmtId="0" fontId="64" fillId="0" borderId="28" xfId="0" applyFont="1" applyBorder="1" applyAlignment="1">
      <alignment horizontal="center" vertical="center" shrinkToFit="1"/>
    </xf>
    <xf numFmtId="38" fontId="64" fillId="35" borderId="105" xfId="0" applyNumberFormat="1" applyFont="1" applyFill="1" applyBorder="1" applyAlignment="1">
      <alignment horizontal="center" vertical="center"/>
    </xf>
    <xf numFmtId="38" fontId="64" fillId="35" borderId="99" xfId="0" applyNumberFormat="1" applyFont="1" applyFill="1" applyBorder="1" applyAlignment="1">
      <alignment horizontal="center" vertical="center"/>
    </xf>
    <xf numFmtId="38" fontId="64" fillId="35" borderId="35" xfId="0" applyNumberFormat="1" applyFont="1" applyFill="1" applyBorder="1" applyAlignment="1">
      <alignment horizontal="center" vertical="center"/>
    </xf>
    <xf numFmtId="0" fontId="77" fillId="0" borderId="0" xfId="0" applyFont="1" applyFill="1" applyAlignment="1">
      <alignment horizontal="left" vertical="center" wrapText="1"/>
    </xf>
    <xf numFmtId="0" fontId="82" fillId="0" borderId="0" xfId="0" applyFont="1" applyBorder="1" applyAlignment="1">
      <alignment horizontal="center" vertical="center" textRotation="255"/>
    </xf>
    <xf numFmtId="0" fontId="64" fillId="35" borderId="78" xfId="0" applyFont="1" applyFill="1" applyBorder="1" applyAlignment="1">
      <alignment horizontal="center" vertical="center"/>
    </xf>
    <xf numFmtId="0" fontId="64" fillId="35" borderId="48" xfId="0" applyFont="1" applyFill="1" applyBorder="1" applyAlignment="1">
      <alignment horizontal="center" vertical="center"/>
    </xf>
    <xf numFmtId="0" fontId="71" fillId="0" borderId="12" xfId="0" applyFont="1" applyBorder="1" applyAlignment="1">
      <alignment horizontal="center" vertical="center"/>
    </xf>
    <xf numFmtId="38" fontId="64" fillId="35" borderId="175" xfId="49" applyFont="1" applyFill="1" applyBorder="1" applyAlignment="1">
      <alignment horizontal="right" vertical="center"/>
    </xf>
    <xf numFmtId="38" fontId="64" fillId="35" borderId="55" xfId="49" applyFont="1" applyFill="1" applyBorder="1" applyAlignment="1">
      <alignment horizontal="right" vertical="center"/>
    </xf>
    <xf numFmtId="38" fontId="64" fillId="35" borderId="56" xfId="49" applyFont="1" applyFill="1" applyBorder="1" applyAlignment="1">
      <alignment horizontal="right" vertical="center"/>
    </xf>
    <xf numFmtId="0" fontId="64" fillId="0" borderId="176" xfId="0" applyFont="1" applyBorder="1" applyAlignment="1">
      <alignment horizontal="center" vertical="center"/>
    </xf>
    <xf numFmtId="38" fontId="65" fillId="36" borderId="172" xfId="49" applyFont="1" applyFill="1" applyBorder="1" applyAlignment="1" applyProtection="1">
      <alignment horizontal="right" vertical="center"/>
      <protection locked="0"/>
    </xf>
    <xf numFmtId="38" fontId="65" fillId="36" borderId="111" xfId="49" applyFont="1" applyFill="1" applyBorder="1" applyAlignment="1" applyProtection="1">
      <alignment horizontal="right" vertical="center"/>
      <protection locked="0"/>
    </xf>
    <xf numFmtId="38" fontId="64" fillId="35" borderId="105" xfId="0" applyNumberFormat="1" applyFont="1" applyFill="1" applyBorder="1" applyAlignment="1">
      <alignment horizontal="right" vertical="center"/>
    </xf>
    <xf numFmtId="38" fontId="64" fillId="35" borderId="99" xfId="0" applyNumberFormat="1" applyFont="1" applyFill="1" applyBorder="1" applyAlignment="1">
      <alignment horizontal="right" vertical="center"/>
    </xf>
    <xf numFmtId="38" fontId="64" fillId="35" borderId="35" xfId="0" applyNumberFormat="1" applyFont="1" applyFill="1" applyBorder="1" applyAlignment="1">
      <alignment horizontal="right" vertical="center"/>
    </xf>
    <xf numFmtId="0" fontId="68" fillId="0" borderId="11" xfId="0" applyFont="1" applyBorder="1" applyAlignment="1">
      <alignment horizontal="center" wrapText="1"/>
    </xf>
    <xf numFmtId="0" fontId="68" fillId="0" borderId="0" xfId="0" applyFont="1" applyBorder="1" applyAlignment="1">
      <alignment horizontal="center"/>
    </xf>
    <xf numFmtId="0" fontId="68" fillId="0" borderId="11" xfId="0" applyFont="1" applyBorder="1" applyAlignment="1">
      <alignment horizontal="center"/>
    </xf>
    <xf numFmtId="0" fontId="64" fillId="0" borderId="166" xfId="0" applyFont="1" applyBorder="1" applyAlignment="1">
      <alignment horizontal="center" vertical="center" shrinkToFit="1"/>
    </xf>
    <xf numFmtId="0" fontId="64" fillId="0" borderId="37" xfId="0" applyFont="1" applyBorder="1" applyAlignment="1">
      <alignment horizontal="center" vertical="center"/>
    </xf>
    <xf numFmtId="0" fontId="64" fillId="0" borderId="59" xfId="0" applyFont="1" applyBorder="1" applyAlignment="1">
      <alignment horizontal="center" vertical="center"/>
    </xf>
    <xf numFmtId="0" fontId="74" fillId="0" borderId="78" xfId="0" applyFont="1" applyBorder="1" applyAlignment="1">
      <alignment horizontal="center" vertical="center"/>
    </xf>
    <xf numFmtId="0" fontId="74" fillId="0" borderId="16" xfId="0" applyFont="1" applyBorder="1" applyAlignment="1">
      <alignment horizontal="center" vertical="center"/>
    </xf>
    <xf numFmtId="0" fontId="74" fillId="0" borderId="48" xfId="0" applyFont="1" applyBorder="1" applyAlignment="1">
      <alignment horizontal="center" vertical="center"/>
    </xf>
    <xf numFmtId="196" fontId="68" fillId="37" borderId="78" xfId="0" applyNumberFormat="1" applyFont="1" applyFill="1" applyBorder="1" applyAlignment="1">
      <alignment horizontal="right" vertical="center"/>
    </xf>
    <xf numFmtId="196" fontId="68" fillId="37" borderId="16" xfId="0" applyNumberFormat="1" applyFont="1" applyFill="1" applyBorder="1" applyAlignment="1">
      <alignment horizontal="right" vertical="center"/>
    </xf>
    <xf numFmtId="196" fontId="68" fillId="37" borderId="48" xfId="0" applyNumberFormat="1" applyFont="1" applyFill="1" applyBorder="1" applyAlignment="1">
      <alignment horizontal="right" vertical="center"/>
    </xf>
    <xf numFmtId="38" fontId="65" fillId="36" borderId="125" xfId="49" applyFont="1" applyFill="1" applyBorder="1" applyAlignment="1" applyProtection="1">
      <alignment horizontal="center" vertical="center"/>
      <protection locked="0"/>
    </xf>
    <xf numFmtId="38" fontId="65" fillId="36" borderId="42" xfId="49" applyFont="1" applyFill="1" applyBorder="1" applyAlignment="1" applyProtection="1">
      <alignment horizontal="center" vertical="center"/>
      <protection locked="0"/>
    </xf>
    <xf numFmtId="0" fontId="64" fillId="0" borderId="38" xfId="0" applyFont="1" applyBorder="1" applyAlignment="1">
      <alignment horizontal="center" vertical="center" wrapText="1"/>
    </xf>
    <xf numFmtId="0" fontId="64" fillId="0" borderId="70" xfId="0" applyFont="1" applyBorder="1" applyAlignment="1">
      <alignment horizontal="center" vertical="center" wrapText="1"/>
    </xf>
    <xf numFmtId="0" fontId="64" fillId="0" borderId="71" xfId="0" applyFont="1" applyBorder="1" applyAlignment="1">
      <alignment horizontal="center" vertical="center" wrapText="1"/>
    </xf>
    <xf numFmtId="38" fontId="65" fillId="36" borderId="95" xfId="49" applyFont="1" applyFill="1" applyBorder="1" applyAlignment="1" applyProtection="1">
      <alignment horizontal="center" vertical="center"/>
      <protection locked="0"/>
    </xf>
    <xf numFmtId="38" fontId="65" fillId="36" borderId="70" xfId="49" applyFont="1" applyFill="1" applyBorder="1" applyAlignment="1" applyProtection="1">
      <alignment horizontal="center" vertical="center"/>
      <protection locked="0"/>
    </xf>
    <xf numFmtId="0" fontId="64" fillId="0" borderId="4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takasaki.gunma.jp/docs/2014011601697/"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BS130"/>
  <sheetViews>
    <sheetView showGridLines="0" tabSelected="1" zoomScaleSheetLayoutView="100" workbookViewId="0" topLeftCell="A64">
      <selection activeCell="X71" sqref="X71:AE71"/>
    </sheetView>
  </sheetViews>
  <sheetFormatPr defaultColWidth="3.421875" defaultRowHeight="18" customHeight="1"/>
  <cols>
    <col min="1" max="35" width="3.421875" style="2" customWidth="1"/>
    <col min="36" max="36" width="62.421875" style="36" customWidth="1"/>
    <col min="37" max="37" width="3.421875" style="36" customWidth="1"/>
    <col min="38" max="58" width="3.421875" style="2" hidden="1" customWidth="1"/>
    <col min="59" max="71" width="0" style="2" hidden="1" customWidth="1"/>
    <col min="72" max="16384" width="3.421875" style="2" customWidth="1"/>
  </cols>
  <sheetData>
    <row r="1" spans="2:32" ht="38.25" customHeight="1">
      <c r="B1" s="632" t="s">
        <v>174</v>
      </c>
      <c r="C1" s="632"/>
      <c r="D1" s="632"/>
      <c r="E1" s="632"/>
      <c r="F1" s="632"/>
      <c r="G1" s="632"/>
      <c r="H1" s="632"/>
      <c r="I1" s="632"/>
      <c r="J1" s="632"/>
      <c r="K1" s="632"/>
      <c r="L1" s="632"/>
      <c r="M1" s="632"/>
      <c r="N1" s="632"/>
      <c r="O1" s="632"/>
      <c r="P1" s="632"/>
      <c r="Q1" s="632"/>
      <c r="R1" s="633" t="s">
        <v>255</v>
      </c>
      <c r="S1" s="633"/>
      <c r="T1" s="633"/>
      <c r="U1" s="633"/>
      <c r="V1" s="633"/>
      <c r="W1" s="633"/>
      <c r="X1" s="633"/>
      <c r="Y1" s="633"/>
      <c r="Z1" s="633"/>
      <c r="AA1" s="633"/>
      <c r="AB1" s="633"/>
      <c r="AC1" s="633"/>
      <c r="AD1" s="633"/>
      <c r="AE1" s="633"/>
      <c r="AF1" s="633"/>
    </row>
    <row r="2" spans="2:3" ht="18" customHeight="1">
      <c r="B2" s="4" t="s">
        <v>28</v>
      </c>
      <c r="C2" s="2" t="s">
        <v>264</v>
      </c>
    </row>
    <row r="3" spans="2:5" ht="18" customHeight="1">
      <c r="B3" s="4" t="s">
        <v>28</v>
      </c>
      <c r="C3" s="389"/>
      <c r="D3" s="390"/>
      <c r="E3" s="2" t="s">
        <v>178</v>
      </c>
    </row>
    <row r="4" spans="2:5" ht="6.75" customHeight="1">
      <c r="B4" s="4"/>
      <c r="C4" s="63"/>
      <c r="D4" s="63"/>
      <c r="E4" s="36"/>
    </row>
    <row r="5" spans="2:4" ht="18" customHeight="1" thickBot="1">
      <c r="B5" s="95" t="s">
        <v>175</v>
      </c>
      <c r="D5" s="63"/>
    </row>
    <row r="6" spans="2:71" ht="18" customHeight="1" thickBot="1">
      <c r="B6" s="4" t="s">
        <v>176</v>
      </c>
      <c r="C6" s="2" t="s">
        <v>249</v>
      </c>
      <c r="D6" s="63"/>
      <c r="AL6" s="305" t="s">
        <v>76</v>
      </c>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7"/>
    </row>
    <row r="7" spans="2:3" ht="18" customHeight="1">
      <c r="B7" s="4" t="s">
        <v>176</v>
      </c>
      <c r="C7" s="2" t="s">
        <v>250</v>
      </c>
    </row>
    <row r="8" spans="3:42" ht="18" customHeight="1">
      <c r="C8" s="2" t="s">
        <v>251</v>
      </c>
      <c r="AL8" s="658" t="s">
        <v>184</v>
      </c>
      <c r="AM8" s="2" t="s">
        <v>176</v>
      </c>
      <c r="AN8" s="659"/>
      <c r="AO8" s="660"/>
      <c r="AP8" s="2" t="s">
        <v>179</v>
      </c>
    </row>
    <row r="9" spans="38:39" ht="18" customHeight="1" thickBot="1">
      <c r="AL9" s="658"/>
      <c r="AM9" s="61"/>
    </row>
    <row r="10" spans="2:50" ht="18" customHeight="1" thickBot="1">
      <c r="B10" s="65"/>
      <c r="C10" s="641" t="s">
        <v>177</v>
      </c>
      <c r="D10" s="489"/>
      <c r="E10" s="642">
        <f>IF(AND(AJ18="",AJ29="",AJ44="",AJ45="",AJ47="",AJ52="",AJ58="",AJ59="",AJ63="",AJ70=""),"","入力内容に誤りがあります。赤字で表示されているメッセージを確認してください。")</f>
      </c>
      <c r="F10" s="643"/>
      <c r="G10" s="643"/>
      <c r="H10" s="643"/>
      <c r="I10" s="643"/>
      <c r="J10" s="643"/>
      <c r="K10" s="643"/>
      <c r="L10" s="643"/>
      <c r="M10" s="643"/>
      <c r="N10" s="643"/>
      <c r="O10" s="643"/>
      <c r="P10" s="643"/>
      <c r="Q10" s="643"/>
      <c r="R10" s="643"/>
      <c r="S10" s="643"/>
      <c r="T10" s="643"/>
      <c r="U10" s="643"/>
      <c r="V10" s="643"/>
      <c r="W10" s="643"/>
      <c r="X10" s="643"/>
      <c r="Y10" s="643"/>
      <c r="Z10" s="644"/>
      <c r="AJ10" s="83"/>
      <c r="AK10" s="83"/>
      <c r="AL10" s="658"/>
      <c r="AM10" s="292" t="s">
        <v>67</v>
      </c>
      <c r="AN10" s="293"/>
      <c r="AO10" s="293"/>
      <c r="AP10" s="293"/>
      <c r="AQ10" s="293"/>
      <c r="AR10" s="293"/>
      <c r="AS10" s="293"/>
      <c r="AT10" s="293"/>
      <c r="AU10" s="293"/>
      <c r="AV10" s="293"/>
      <c r="AW10" s="293"/>
      <c r="AX10" s="294"/>
    </row>
    <row r="11" spans="2:50" ht="18" customHeight="1" thickTop="1">
      <c r="B11" s="65"/>
      <c r="C11" s="460"/>
      <c r="D11" s="461"/>
      <c r="E11" s="645"/>
      <c r="F11" s="646"/>
      <c r="G11" s="646"/>
      <c r="H11" s="646"/>
      <c r="I11" s="646"/>
      <c r="J11" s="646"/>
      <c r="K11" s="646"/>
      <c r="L11" s="646"/>
      <c r="M11" s="646"/>
      <c r="N11" s="646"/>
      <c r="O11" s="646"/>
      <c r="P11" s="646"/>
      <c r="Q11" s="646"/>
      <c r="R11" s="646"/>
      <c r="S11" s="646"/>
      <c r="T11" s="646"/>
      <c r="U11" s="646"/>
      <c r="V11" s="646"/>
      <c r="W11" s="646"/>
      <c r="X11" s="646"/>
      <c r="Y11" s="646"/>
      <c r="Z11" s="647"/>
      <c r="AA11" s="33"/>
      <c r="AB11" s="33"/>
      <c r="AC11" s="33"/>
      <c r="AD11" s="33"/>
      <c r="AE11" s="33"/>
      <c r="AF11" s="33"/>
      <c r="AL11" s="658"/>
      <c r="AM11" s="476" t="s">
        <v>70</v>
      </c>
      <c r="AN11" s="461"/>
      <c r="AO11" s="461"/>
      <c r="AP11" s="461"/>
      <c r="AQ11" s="461"/>
      <c r="AR11" s="462"/>
      <c r="AS11" s="460" t="s">
        <v>69</v>
      </c>
      <c r="AT11" s="461"/>
      <c r="AU11" s="461"/>
      <c r="AV11" s="461"/>
      <c r="AW11" s="461"/>
      <c r="AX11" s="484"/>
    </row>
    <row r="12" spans="38:50" ht="18" customHeight="1">
      <c r="AL12" s="658"/>
      <c r="AM12" s="481" t="s">
        <v>186</v>
      </c>
      <c r="AN12" s="482"/>
      <c r="AO12" s="482"/>
      <c r="AP12" s="482"/>
      <c r="AQ12" s="482"/>
      <c r="AR12" s="483"/>
      <c r="AS12" s="339">
        <f>IF(T16&lt;651000,0,IF(T16&lt;1619000,T16-650000,IF(T16&lt;1620000,969000,IF(T16&lt;1622000,970000,IF(T16&lt;1624000,972000,IF(T16&lt;1628000,974000,0))))))</f>
        <v>0</v>
      </c>
      <c r="AT12" s="340" t="e">
        <f>IF(#REF!&lt;651000,0,IF(#REF!&lt;1619000,#REF!-650000,IF(#REF!&lt;1620000,ROUNDDOWN(#REF!/1000,0)*1000*0.6-2400,IF(#REF!&lt;1622000,ROUNDDOWN(#REF!/2000,0)*2000*0.6-2000,IF(#REF!&lt;1624000,ROUNDDOWN(#REF!/2000,0)*2000*0.6-1200,IF(#REF!&lt;1628000,ROUNDDOWN(#REF!/4000,0)*4000*0.6-400,0))))))</f>
        <v>#REF!</v>
      </c>
      <c r="AU12" s="340" t="e">
        <f>IF(#REF!&lt;651000,0,IF(#REF!&lt;1619000,#REF!-650000,IF(#REF!&lt;1620000,ROUNDDOWN(#REF!/1000,0)*1000*0.6-2400,IF(#REF!&lt;1622000,ROUNDDOWN(#REF!/2000,0)*2000*0.6-2000,IF(#REF!&lt;1624000,ROUNDDOWN(#REF!/2000,0)*2000*0.6-1200,IF(#REF!&lt;1628000,ROUNDDOWN(#REF!/4000,0)*4000*0.6-400,0))))))</f>
        <v>#REF!</v>
      </c>
      <c r="AV12" s="340" t="e">
        <f>IF(#REF!&lt;651000,0,IF(#REF!&lt;1619000,#REF!-650000,IF(#REF!&lt;1620000,ROUNDDOWN(#REF!/1000,0)*1000*0.6-2400,IF(#REF!&lt;1622000,ROUNDDOWN(#REF!/2000,0)*2000*0.6-2000,IF(#REF!&lt;1624000,ROUNDDOWN(#REF!/2000,0)*2000*0.6-1200,IF(#REF!&lt;1628000,ROUNDDOWN(#REF!/4000,0)*4000*0.6-400,0))))))</f>
        <v>#REF!</v>
      </c>
      <c r="AW12" s="340" t="e">
        <f>IF(#REF!&lt;651000,0,IF(#REF!&lt;1619000,#REF!-650000,IF(#REF!&lt;1620000,ROUNDDOWN(#REF!/1000,0)*1000*0.6-2400,IF(#REF!&lt;1622000,ROUNDDOWN(#REF!/2000,0)*2000*0.6-2000,IF(#REF!&lt;1624000,ROUNDDOWN(#REF!/2000,0)*2000*0.6-1200,IF(#REF!&lt;1628000,ROUNDDOWN(#REF!/4000,0)*4000*0.6-400,0))))))</f>
        <v>#REF!</v>
      </c>
      <c r="AX12" s="341" t="e">
        <f>IF(#REF!&lt;651000,0,IF(#REF!&lt;1619000,#REF!-650000,IF(#REF!&lt;1620000,ROUNDDOWN(#REF!/1000,0)*1000*0.6-2400,IF(#REF!&lt;1622000,ROUNDDOWN(#REF!/2000,0)*2000*0.6-2000,IF(#REF!&lt;1624000,ROUNDDOWN(#REF!/2000,0)*2000*0.6-1200,IF(#REF!&lt;1628000,ROUNDDOWN(#REF!/4000,0)*4000*0.6-400,0))))))</f>
        <v>#REF!</v>
      </c>
    </row>
    <row r="13" spans="2:50" ht="18" customHeight="1" thickBot="1">
      <c r="B13" s="93">
        <v>1</v>
      </c>
      <c r="C13" s="94" t="s">
        <v>8</v>
      </c>
      <c r="D13" s="94"/>
      <c r="AJ13" s="102" t="s">
        <v>202</v>
      </c>
      <c r="AK13" s="84"/>
      <c r="AL13" s="658"/>
      <c r="AM13" s="332" t="s">
        <v>185</v>
      </c>
      <c r="AN13" s="333"/>
      <c r="AO13" s="333"/>
      <c r="AP13" s="333"/>
      <c r="AQ13" s="333"/>
      <c r="AR13" s="334"/>
      <c r="AS13" s="320">
        <f>IF(T16&lt;1628000,0,IF(T16&lt;1800000,ROUNDDOWN(T16/4000,0)*4000*0.6,IF(T16&lt;3600000,ROUNDDOWN(T16/4000,0)*4000*0.7-180000,IF(T16&lt;6600000,ROUNDDOWN(T16/4000,0)*4000*0.8-540000,IF(T16&lt;10000000,ROUNDDOWN(T16*0.9-1200000,0),T16-2200000)))))</f>
        <v>0</v>
      </c>
      <c r="AT13" s="321" t="e">
        <f>IF(#REF!&lt;1628000,0,IF(#REF!&lt;1800000,ROUNDDOWN(#REF!/4000,0)*4000*0.6,IF(#REF!&lt;3600000,ROUNDDOWN(#REF!/4000,0)*4000*0.7-180000,IF(#REF!&lt;6600000,ROUNDDOWN(#REF!/4000,0)*4000*0.8-540000,IF(#REF!&lt;10000000,ROUNDDOWN(#REF!*0.9-1200000,0),IF(#REF!&lt;15000000,ROUNDDOWN(#REF!*0.95-1700000,0),#REF!-2450000))))))</f>
        <v>#REF!</v>
      </c>
      <c r="AU13" s="321" t="e">
        <f>IF(#REF!&lt;1628000,0,IF(#REF!&lt;1800000,ROUNDDOWN(#REF!/4000,0)*4000*0.6,IF(#REF!&lt;3600000,ROUNDDOWN(#REF!/4000,0)*4000*0.7-180000,IF(#REF!&lt;6600000,ROUNDDOWN(#REF!/4000,0)*4000*0.8-540000,IF(#REF!&lt;10000000,ROUNDDOWN(#REF!*0.9-1200000,0),IF(#REF!&lt;15000000,ROUNDDOWN(#REF!*0.95-1700000,0),#REF!-2450000))))))</f>
        <v>#REF!</v>
      </c>
      <c r="AV13" s="321" t="e">
        <f>IF(#REF!&lt;1628000,0,IF(#REF!&lt;1800000,ROUNDDOWN(#REF!/4000,0)*4000*0.6,IF(#REF!&lt;3600000,ROUNDDOWN(#REF!/4000,0)*4000*0.7-180000,IF(#REF!&lt;6600000,ROUNDDOWN(#REF!/4000,0)*4000*0.8-540000,IF(#REF!&lt;10000000,ROUNDDOWN(#REF!*0.9-1200000,0),IF(#REF!&lt;15000000,ROUNDDOWN(#REF!*0.95-1700000,0),#REF!-2450000))))))</f>
        <v>#REF!</v>
      </c>
      <c r="AW13" s="321" t="e">
        <f>IF(#REF!&lt;1628000,0,IF(#REF!&lt;1800000,ROUNDDOWN(#REF!/4000,0)*4000*0.6,IF(#REF!&lt;3600000,ROUNDDOWN(#REF!/4000,0)*4000*0.7-180000,IF(#REF!&lt;6600000,ROUNDDOWN(#REF!/4000,0)*4000*0.8-540000,IF(#REF!&lt;10000000,ROUNDDOWN(#REF!*0.9-1200000,0),IF(#REF!&lt;15000000,ROUNDDOWN(#REF!*0.95-1700000,0),#REF!-2450000))))))</f>
        <v>#REF!</v>
      </c>
      <c r="AX13" s="322" t="e">
        <f>IF(#REF!&lt;1628000,0,IF(#REF!&lt;1800000,ROUNDDOWN(#REF!/4000,0)*4000*0.6,IF(#REF!&lt;3600000,ROUNDDOWN(#REF!/4000,0)*4000*0.7-180000,IF(#REF!&lt;6600000,ROUNDDOWN(#REF!/4000,0)*4000*0.8-540000,IF(#REF!&lt;10000000,ROUNDDOWN(#REF!*0.9-1200000,0),IF(#REF!&lt;15000000,ROUNDDOWN(#REF!*0.95-1700000,0),#REF!-2450000))))))</f>
        <v>#REF!</v>
      </c>
    </row>
    <row r="14" spans="2:50" ht="18" customHeight="1" thickBot="1">
      <c r="B14" s="4"/>
      <c r="C14" s="365" t="s">
        <v>3</v>
      </c>
      <c r="D14" s="355"/>
      <c r="E14" s="355"/>
      <c r="F14" s="355"/>
      <c r="G14" s="355"/>
      <c r="H14" s="355"/>
      <c r="I14" s="355"/>
      <c r="J14" s="355"/>
      <c r="K14" s="355"/>
      <c r="L14" s="355"/>
      <c r="M14" s="355"/>
      <c r="N14" s="355"/>
      <c r="O14" s="355"/>
      <c r="P14" s="355"/>
      <c r="Q14" s="355"/>
      <c r="R14" s="355"/>
      <c r="S14" s="366"/>
      <c r="T14" s="354" t="s">
        <v>4</v>
      </c>
      <c r="U14" s="355"/>
      <c r="V14" s="355"/>
      <c r="W14" s="355"/>
      <c r="X14" s="355"/>
      <c r="Y14" s="355"/>
      <c r="Z14" s="366"/>
      <c r="AA14" s="355" t="s">
        <v>5</v>
      </c>
      <c r="AB14" s="355"/>
      <c r="AC14" s="355"/>
      <c r="AD14" s="355"/>
      <c r="AE14" s="355"/>
      <c r="AF14" s="355"/>
      <c r="AG14" s="426"/>
      <c r="AH14" s="64"/>
      <c r="AJ14" s="85"/>
      <c r="AK14" s="85"/>
      <c r="AM14" s="465" t="s">
        <v>68</v>
      </c>
      <c r="AN14" s="466"/>
      <c r="AO14" s="466"/>
      <c r="AP14" s="466"/>
      <c r="AQ14" s="466"/>
      <c r="AR14" s="466"/>
      <c r="AS14" s="329">
        <f>AS12+AS13</f>
        <v>0</v>
      </c>
      <c r="AT14" s="330"/>
      <c r="AU14" s="330"/>
      <c r="AV14" s="330"/>
      <c r="AW14" s="330"/>
      <c r="AX14" s="331"/>
    </row>
    <row r="15" spans="3:37" ht="18" customHeight="1" thickBot="1">
      <c r="C15" s="367"/>
      <c r="D15" s="357"/>
      <c r="E15" s="357"/>
      <c r="F15" s="357"/>
      <c r="G15" s="357"/>
      <c r="H15" s="357"/>
      <c r="I15" s="357"/>
      <c r="J15" s="357"/>
      <c r="K15" s="357"/>
      <c r="L15" s="357"/>
      <c r="M15" s="357"/>
      <c r="N15" s="357"/>
      <c r="O15" s="357"/>
      <c r="P15" s="357"/>
      <c r="Q15" s="357"/>
      <c r="R15" s="357"/>
      <c r="S15" s="368"/>
      <c r="T15" s="356"/>
      <c r="U15" s="357"/>
      <c r="V15" s="357"/>
      <c r="W15" s="357"/>
      <c r="X15" s="357"/>
      <c r="Y15" s="357"/>
      <c r="Z15" s="368"/>
      <c r="AA15" s="357"/>
      <c r="AB15" s="357"/>
      <c r="AC15" s="357"/>
      <c r="AD15" s="357"/>
      <c r="AE15" s="357"/>
      <c r="AF15" s="357"/>
      <c r="AG15" s="427"/>
      <c r="AH15" s="64"/>
      <c r="AJ15" s="83"/>
      <c r="AK15" s="85"/>
    </row>
    <row r="16" spans="3:55" ht="18" customHeight="1" thickBot="1" thickTop="1">
      <c r="C16" s="551" t="s">
        <v>2</v>
      </c>
      <c r="D16" s="552"/>
      <c r="E16" s="552"/>
      <c r="F16" s="552"/>
      <c r="G16" s="552"/>
      <c r="H16" s="552"/>
      <c r="I16" s="552"/>
      <c r="J16" s="552"/>
      <c r="K16" s="552"/>
      <c r="L16" s="552"/>
      <c r="M16" s="552"/>
      <c r="N16" s="552"/>
      <c r="O16" s="552"/>
      <c r="P16" s="552"/>
      <c r="Q16" s="552"/>
      <c r="R16" s="552"/>
      <c r="S16" s="553"/>
      <c r="T16" s="520"/>
      <c r="U16" s="521"/>
      <c r="V16" s="521"/>
      <c r="W16" s="521"/>
      <c r="X16" s="521"/>
      <c r="Y16" s="521"/>
      <c r="Z16" s="621" t="s">
        <v>0</v>
      </c>
      <c r="AA16" s="541">
        <f>IF(T16="","",AS14)</f>
      </c>
      <c r="AB16" s="542"/>
      <c r="AC16" s="542"/>
      <c r="AD16" s="542"/>
      <c r="AE16" s="542"/>
      <c r="AF16" s="542"/>
      <c r="AG16" s="627" t="s">
        <v>0</v>
      </c>
      <c r="AH16" s="671"/>
      <c r="AI16" s="672"/>
      <c r="AJ16" s="463"/>
      <c r="AK16" s="86"/>
      <c r="AM16" s="485" t="s">
        <v>180</v>
      </c>
      <c r="AN16" s="486"/>
      <c r="AO16" s="486"/>
      <c r="AP16" s="486"/>
      <c r="AQ16" s="486"/>
      <c r="AR16" s="486"/>
      <c r="AS16" s="486"/>
      <c r="AT16" s="486"/>
      <c r="AU16" s="487"/>
      <c r="AX16" s="33"/>
      <c r="AY16" s="33"/>
      <c r="AZ16" s="33"/>
      <c r="BA16" s="33"/>
      <c r="BB16" s="33"/>
      <c r="BC16" s="33"/>
    </row>
    <row r="17" spans="3:47" ht="18" customHeight="1" thickTop="1">
      <c r="C17" s="476"/>
      <c r="D17" s="461"/>
      <c r="E17" s="461"/>
      <c r="F17" s="461"/>
      <c r="G17" s="461"/>
      <c r="H17" s="461"/>
      <c r="I17" s="461"/>
      <c r="J17" s="461"/>
      <c r="K17" s="461"/>
      <c r="L17" s="461"/>
      <c r="M17" s="461"/>
      <c r="N17" s="461"/>
      <c r="O17" s="461"/>
      <c r="P17" s="461"/>
      <c r="Q17" s="461"/>
      <c r="R17" s="461"/>
      <c r="S17" s="462"/>
      <c r="T17" s="522"/>
      <c r="U17" s="523"/>
      <c r="V17" s="523"/>
      <c r="W17" s="523"/>
      <c r="X17" s="523"/>
      <c r="Y17" s="523"/>
      <c r="Z17" s="562"/>
      <c r="AA17" s="543"/>
      <c r="AB17" s="544"/>
      <c r="AC17" s="544"/>
      <c r="AD17" s="544"/>
      <c r="AE17" s="544"/>
      <c r="AF17" s="544"/>
      <c r="AG17" s="441"/>
      <c r="AH17" s="673"/>
      <c r="AI17" s="672"/>
      <c r="AJ17" s="463"/>
      <c r="AK17" s="86"/>
      <c r="AM17" s="17"/>
      <c r="AN17" s="18"/>
      <c r="AO17" s="18"/>
      <c r="AP17" s="18"/>
      <c r="AQ17" s="18"/>
      <c r="AR17" s="18"/>
      <c r="AS17" s="18"/>
      <c r="AT17" s="18"/>
      <c r="AU17" s="6"/>
    </row>
    <row r="18" spans="3:47" ht="18" customHeight="1">
      <c r="C18" s="488" t="s">
        <v>1</v>
      </c>
      <c r="D18" s="489"/>
      <c r="E18" s="489"/>
      <c r="F18" s="489"/>
      <c r="G18" s="489"/>
      <c r="H18" s="489"/>
      <c r="I18" s="489"/>
      <c r="J18" s="490"/>
      <c r="K18" s="548" t="s">
        <v>36</v>
      </c>
      <c r="L18" s="489"/>
      <c r="M18" s="489"/>
      <c r="N18" s="489"/>
      <c r="O18" s="489"/>
      <c r="P18" s="489"/>
      <c r="Q18" s="489"/>
      <c r="R18" s="489"/>
      <c r="S18" s="490"/>
      <c r="T18" s="502"/>
      <c r="U18" s="503"/>
      <c r="V18" s="503"/>
      <c r="W18" s="503"/>
      <c r="X18" s="503"/>
      <c r="Y18" s="503"/>
      <c r="Z18" s="561" t="s">
        <v>0</v>
      </c>
      <c r="AA18" s="443">
        <f>IF(K19=AM18,AS23,IF(K19=AM19,AS24,IF(T18="","")))</f>
      </c>
      <c r="AB18" s="444"/>
      <c r="AC18" s="444"/>
      <c r="AD18" s="444"/>
      <c r="AE18" s="444"/>
      <c r="AF18" s="444"/>
      <c r="AG18" s="455" t="s">
        <v>0</v>
      </c>
      <c r="AH18" s="34"/>
      <c r="AJ18" s="572">
        <f>IF(AND(K19="",T18&lt;&gt;""),"㊟ 年齢区分を入れてください","")</f>
      </c>
      <c r="AK18" s="87"/>
      <c r="AL18" s="661" t="s">
        <v>183</v>
      </c>
      <c r="AM18" s="17" t="s">
        <v>218</v>
      </c>
      <c r="AN18" s="18"/>
      <c r="AO18" s="18"/>
      <c r="AP18" s="18"/>
      <c r="AQ18" s="18"/>
      <c r="AR18" s="18"/>
      <c r="AS18" s="18"/>
      <c r="AT18" s="19"/>
      <c r="AU18" s="20"/>
    </row>
    <row r="19" spans="3:47" ht="18" customHeight="1" thickBot="1">
      <c r="C19" s="476"/>
      <c r="D19" s="461"/>
      <c r="E19" s="461"/>
      <c r="F19" s="461"/>
      <c r="G19" s="461"/>
      <c r="H19" s="461"/>
      <c r="I19" s="461"/>
      <c r="J19" s="462"/>
      <c r="K19" s="622"/>
      <c r="L19" s="623"/>
      <c r="M19" s="623"/>
      <c r="N19" s="623"/>
      <c r="O19" s="623"/>
      <c r="P19" s="623"/>
      <c r="Q19" s="623"/>
      <c r="R19" s="623"/>
      <c r="S19" s="624"/>
      <c r="T19" s="522"/>
      <c r="U19" s="523"/>
      <c r="V19" s="523"/>
      <c r="W19" s="523"/>
      <c r="X19" s="523"/>
      <c r="Y19" s="523"/>
      <c r="Z19" s="562"/>
      <c r="AA19" s="303"/>
      <c r="AB19" s="304"/>
      <c r="AC19" s="304"/>
      <c r="AD19" s="304"/>
      <c r="AE19" s="304"/>
      <c r="AF19" s="304"/>
      <c r="AG19" s="441"/>
      <c r="AH19" s="34"/>
      <c r="AJ19" s="572"/>
      <c r="AK19" s="87"/>
      <c r="AL19" s="661"/>
      <c r="AM19" s="7" t="s">
        <v>219</v>
      </c>
      <c r="AN19" s="8"/>
      <c r="AO19" s="8"/>
      <c r="AP19" s="8"/>
      <c r="AQ19" s="8"/>
      <c r="AR19" s="8"/>
      <c r="AS19" s="8"/>
      <c r="AT19" s="53"/>
      <c r="AU19" s="9"/>
    </row>
    <row r="20" spans="3:39" ht="18" customHeight="1" thickBot="1">
      <c r="C20" s="488" t="s">
        <v>6</v>
      </c>
      <c r="D20" s="489"/>
      <c r="E20" s="489"/>
      <c r="F20" s="489"/>
      <c r="G20" s="489"/>
      <c r="H20" s="489"/>
      <c r="I20" s="489"/>
      <c r="J20" s="489"/>
      <c r="K20" s="489"/>
      <c r="L20" s="489"/>
      <c r="M20" s="489"/>
      <c r="N20" s="489"/>
      <c r="O20" s="489"/>
      <c r="P20" s="489"/>
      <c r="Q20" s="489"/>
      <c r="R20" s="489"/>
      <c r="S20" s="490"/>
      <c r="T20" s="491"/>
      <c r="U20" s="492"/>
      <c r="V20" s="492"/>
      <c r="W20" s="492"/>
      <c r="X20" s="492"/>
      <c r="Y20" s="492"/>
      <c r="Z20" s="493"/>
      <c r="AA20" s="502"/>
      <c r="AB20" s="503"/>
      <c r="AC20" s="503"/>
      <c r="AD20" s="503"/>
      <c r="AE20" s="503"/>
      <c r="AF20" s="503"/>
      <c r="AG20" s="455" t="s">
        <v>0</v>
      </c>
      <c r="AH20" s="34"/>
      <c r="AJ20" s="463"/>
      <c r="AK20" s="86"/>
      <c r="AM20" s="61"/>
    </row>
    <row r="21" spans="3:50" ht="18" customHeight="1" thickBot="1">
      <c r="C21" s="478"/>
      <c r="D21" s="479"/>
      <c r="E21" s="479"/>
      <c r="F21" s="479"/>
      <c r="G21" s="479"/>
      <c r="H21" s="479"/>
      <c r="I21" s="479"/>
      <c r="J21" s="479"/>
      <c r="K21" s="479"/>
      <c r="L21" s="479"/>
      <c r="M21" s="479"/>
      <c r="N21" s="479"/>
      <c r="O21" s="479"/>
      <c r="P21" s="479"/>
      <c r="Q21" s="479"/>
      <c r="R21" s="479"/>
      <c r="S21" s="480"/>
      <c r="T21" s="494"/>
      <c r="U21" s="495"/>
      <c r="V21" s="495"/>
      <c r="W21" s="495"/>
      <c r="X21" s="495"/>
      <c r="Y21" s="495"/>
      <c r="Z21" s="496"/>
      <c r="AA21" s="504"/>
      <c r="AB21" s="505"/>
      <c r="AC21" s="505"/>
      <c r="AD21" s="505"/>
      <c r="AE21" s="505"/>
      <c r="AF21" s="505"/>
      <c r="AG21" s="576"/>
      <c r="AH21" s="34"/>
      <c r="AJ21" s="463"/>
      <c r="AK21" s="86"/>
      <c r="AM21" s="292" t="s">
        <v>71</v>
      </c>
      <c r="AN21" s="293"/>
      <c r="AO21" s="293"/>
      <c r="AP21" s="293"/>
      <c r="AQ21" s="293"/>
      <c r="AR21" s="293"/>
      <c r="AS21" s="293"/>
      <c r="AT21" s="293"/>
      <c r="AU21" s="293"/>
      <c r="AV21" s="293"/>
      <c r="AW21" s="293"/>
      <c r="AX21" s="294"/>
    </row>
    <row r="22" spans="11:50" ht="18" customHeight="1">
      <c r="K22" s="1"/>
      <c r="T22" s="365" t="s">
        <v>75</v>
      </c>
      <c r="U22" s="355"/>
      <c r="V22" s="355"/>
      <c r="W22" s="355"/>
      <c r="X22" s="355"/>
      <c r="Y22" s="355"/>
      <c r="Z22" s="366"/>
      <c r="AA22" s="570">
        <f>IF(SUM(AA16:AF21)&lt;0,0,SUM(AA16:AF21))</f>
        <v>0</v>
      </c>
      <c r="AB22" s="571"/>
      <c r="AC22" s="571"/>
      <c r="AD22" s="571"/>
      <c r="AE22" s="571"/>
      <c r="AF22" s="571"/>
      <c r="AG22" s="575" t="s">
        <v>0</v>
      </c>
      <c r="AH22" s="34"/>
      <c r="AJ22" s="463"/>
      <c r="AK22" s="86"/>
      <c r="AM22" s="476" t="s">
        <v>72</v>
      </c>
      <c r="AN22" s="461"/>
      <c r="AO22" s="461"/>
      <c r="AP22" s="461"/>
      <c r="AQ22" s="461"/>
      <c r="AR22" s="462"/>
      <c r="AS22" s="460" t="s">
        <v>69</v>
      </c>
      <c r="AT22" s="461"/>
      <c r="AU22" s="461"/>
      <c r="AV22" s="461"/>
      <c r="AW22" s="461"/>
      <c r="AX22" s="484"/>
    </row>
    <row r="23" spans="20:50" ht="18" customHeight="1" thickBot="1">
      <c r="T23" s="478"/>
      <c r="U23" s="479"/>
      <c r="V23" s="479"/>
      <c r="W23" s="479"/>
      <c r="X23" s="479"/>
      <c r="Y23" s="479"/>
      <c r="Z23" s="480"/>
      <c r="AA23" s="445"/>
      <c r="AB23" s="446"/>
      <c r="AC23" s="446"/>
      <c r="AD23" s="446"/>
      <c r="AE23" s="446"/>
      <c r="AF23" s="446"/>
      <c r="AG23" s="576"/>
      <c r="AH23" s="34"/>
      <c r="AJ23" s="463"/>
      <c r="AK23" s="86"/>
      <c r="AM23" s="481" t="s">
        <v>73</v>
      </c>
      <c r="AN23" s="482"/>
      <c r="AO23" s="482"/>
      <c r="AP23" s="482"/>
      <c r="AQ23" s="482"/>
      <c r="AR23" s="483"/>
      <c r="AS23" s="339">
        <f>IF(T18&lt;700001,0,IF(T18&lt;1300000,T18-700000,IF(T18&lt;4100000,ROUNDDOWN(T18*0.75-375000,0),IF(T18&lt;7700000,ROUNDDOWN(T18*0.85-785000,0),ROUNDDOWN(T18*0.95-1555000,0)))))</f>
        <v>0</v>
      </c>
      <c r="AT23" s="340" t="e">
        <f>IF(#REF!&lt;700001,0,IF(#REF!&lt;1300000,#REF!-700000,IF(#REF!&lt;4100000,ROUNDDOWN(#REF!*0.75-375000,0),IF(#REF!&lt;7700000,ROUNDDOWN(#REF!*0.85-785000,0),ROUNDDOWN(#REF!*0.95-1555000,0)))))</f>
        <v>#REF!</v>
      </c>
      <c r="AU23" s="340" t="e">
        <f>IF(#REF!&lt;700001,0,IF(#REF!&lt;1300000,#REF!-700000,IF(#REF!&lt;4100000,ROUNDDOWN(#REF!*0.75-375000,0),IF(#REF!&lt;7700000,ROUNDDOWN(#REF!*0.85-785000,0),ROUNDDOWN(#REF!*0.95-1555000,0)))))</f>
        <v>#REF!</v>
      </c>
      <c r="AV23" s="340" t="e">
        <f>IF(#REF!&lt;700001,0,IF(#REF!&lt;1300000,#REF!-700000,IF(#REF!&lt;4100000,ROUNDDOWN(#REF!*0.75-375000,0),IF(#REF!&lt;7700000,ROUNDDOWN(#REF!*0.85-785000,0),ROUNDDOWN(#REF!*0.95-1555000,0)))))</f>
        <v>#REF!</v>
      </c>
      <c r="AW23" s="340" t="e">
        <f>IF(#REF!&lt;700001,0,IF(#REF!&lt;1300000,#REF!-700000,IF(#REF!&lt;4100000,ROUNDDOWN(#REF!*0.75-375000,0),IF(#REF!&lt;7700000,ROUNDDOWN(#REF!*0.85-785000,0),ROUNDDOWN(#REF!*0.95-1555000,0)))))</f>
        <v>#REF!</v>
      </c>
      <c r="AX23" s="341" t="e">
        <f>IF(#REF!&lt;700001,0,IF(#REF!&lt;1300000,#REF!-700000,IF(#REF!&lt;4100000,ROUNDDOWN(#REF!*0.75-375000,0),IF(#REF!&lt;7700000,ROUNDDOWN(#REF!*0.85-785000,0),ROUNDDOWN(#REF!*0.95-1555000,0)))))</f>
        <v>#REF!</v>
      </c>
    </row>
    <row r="24" spans="13:50" ht="18" customHeight="1" thickBot="1">
      <c r="M24" s="1"/>
      <c r="AJ24" s="83"/>
      <c r="AK24" s="85"/>
      <c r="AM24" s="616" t="s">
        <v>74</v>
      </c>
      <c r="AN24" s="617"/>
      <c r="AO24" s="617"/>
      <c r="AP24" s="617"/>
      <c r="AQ24" s="617"/>
      <c r="AR24" s="618"/>
      <c r="AS24" s="320">
        <f>IF(T18&lt;1200001,0,IF(T18&lt;3300000,T18-1200000,IF(T18&lt;4100000,ROUNDDOWN(T18*0.75-375000,0),IF(T18&lt;7700000,ROUNDDOWN(T18*0.85-785000,0),ROUNDDOWN(T18*0.95-1555000,0)))))</f>
        <v>0</v>
      </c>
      <c r="AT24" s="321" t="e">
        <f>IF(#REF!&lt;1200001,0,IF(#REF!&lt;3300000,#REF!-1200000,IF(#REF!&lt;4100000,ROUNDDOWN(#REF!*0.75-375000,0),IF(#REF!&lt;7700000,ROUNDDOWN(#REF!*0.85-785000,0),ROUNDDOWN(#REF!*0.95-1555000,0)))))</f>
        <v>#REF!</v>
      </c>
      <c r="AU24" s="321" t="e">
        <f>IF(#REF!&lt;1200001,0,IF(#REF!&lt;3300000,#REF!-1200000,IF(#REF!&lt;4100000,ROUNDDOWN(#REF!*0.75-375000,0),IF(#REF!&lt;7700000,ROUNDDOWN(#REF!*0.85-785000,0),ROUNDDOWN(#REF!*0.95-1555000,0)))))</f>
        <v>#REF!</v>
      </c>
      <c r="AV24" s="321" t="e">
        <f>IF(#REF!&lt;1200001,0,IF(#REF!&lt;3300000,#REF!-1200000,IF(#REF!&lt;4100000,ROUNDDOWN(#REF!*0.75-375000,0),IF(#REF!&lt;7700000,ROUNDDOWN(#REF!*0.85-785000,0),ROUNDDOWN(#REF!*0.95-1555000,0)))))</f>
        <v>#REF!</v>
      </c>
      <c r="AW24" s="321" t="e">
        <f>IF(#REF!&lt;1200001,0,IF(#REF!&lt;3300000,#REF!-1200000,IF(#REF!&lt;4100000,ROUNDDOWN(#REF!*0.75-375000,0),IF(#REF!&lt;7700000,ROUNDDOWN(#REF!*0.85-785000,0),ROUNDDOWN(#REF!*0.95-1555000,0)))))</f>
        <v>#REF!</v>
      </c>
      <c r="AX24" s="322" t="e">
        <f>IF(#REF!&lt;1200001,0,IF(#REF!&lt;3300000,#REF!-1200000,IF(#REF!&lt;4100000,ROUNDDOWN(#REF!*0.75-375000,0),IF(#REF!&lt;7700000,ROUNDDOWN(#REF!*0.85-785000,0),ROUNDDOWN(#REF!*0.95-1555000,0)))))</f>
        <v>#REF!</v>
      </c>
    </row>
    <row r="25" spans="2:60" ht="18" customHeight="1" thickBot="1">
      <c r="B25" s="93">
        <v>2</v>
      </c>
      <c r="C25" s="94" t="s">
        <v>9</v>
      </c>
      <c r="AJ25" s="83"/>
      <c r="AK25" s="85"/>
      <c r="AW25" s="1"/>
      <c r="AX25" s="1"/>
      <c r="AY25" s="1"/>
      <c r="AZ25" s="1"/>
      <c r="BA25" s="1"/>
      <c r="BB25" s="1"/>
      <c r="BC25" s="1"/>
      <c r="BD25" s="1"/>
      <c r="BE25" s="1"/>
      <c r="BF25" s="1"/>
      <c r="BG25" s="1"/>
      <c r="BH25" s="1"/>
    </row>
    <row r="26" spans="3:60" ht="18" customHeight="1" thickBot="1">
      <c r="C26" s="512" t="s">
        <v>10</v>
      </c>
      <c r="D26" s="513"/>
      <c r="E26" s="516" t="s">
        <v>11</v>
      </c>
      <c r="F26" s="516"/>
      <c r="G26" s="516"/>
      <c r="H26" s="516"/>
      <c r="I26" s="516"/>
      <c r="J26" s="516"/>
      <c r="K26" s="516"/>
      <c r="L26" s="516"/>
      <c r="M26" s="516"/>
      <c r="N26" s="516"/>
      <c r="O26" s="516"/>
      <c r="P26" s="516"/>
      <c r="Q26" s="516"/>
      <c r="R26" s="516"/>
      <c r="S26" s="517"/>
      <c r="T26" s="354" t="s">
        <v>12</v>
      </c>
      <c r="U26" s="355"/>
      <c r="V26" s="355"/>
      <c r="W26" s="355"/>
      <c r="X26" s="355"/>
      <c r="Y26" s="355"/>
      <c r="Z26" s="366"/>
      <c r="AA26" s="354" t="s">
        <v>13</v>
      </c>
      <c r="AB26" s="355"/>
      <c r="AC26" s="355"/>
      <c r="AD26" s="355"/>
      <c r="AE26" s="355"/>
      <c r="AF26" s="355"/>
      <c r="AG26" s="426"/>
      <c r="AH26" s="64"/>
      <c r="AJ26" s="83"/>
      <c r="AK26" s="85"/>
      <c r="AL26" s="91"/>
      <c r="AM26" s="292" t="s">
        <v>15</v>
      </c>
      <c r="AN26" s="293"/>
      <c r="AO26" s="293"/>
      <c r="AP26" s="293"/>
      <c r="AQ26" s="293"/>
      <c r="AR26" s="293"/>
      <c r="AS26" s="293"/>
      <c r="AT26" s="293"/>
      <c r="AU26" s="57"/>
      <c r="AV26" s="292" t="s">
        <v>206</v>
      </c>
      <c r="AW26" s="293"/>
      <c r="AX26" s="293"/>
      <c r="AY26" s="293"/>
      <c r="AZ26" s="293"/>
      <c r="BA26" s="293"/>
      <c r="BB26" s="293"/>
      <c r="BC26" s="294"/>
      <c r="BD26" s="1"/>
      <c r="BE26" s="1"/>
      <c r="BF26" s="1"/>
      <c r="BG26" s="1"/>
      <c r="BH26" s="1"/>
    </row>
    <row r="27" spans="3:58" ht="18" customHeight="1" thickTop="1">
      <c r="C27" s="514"/>
      <c r="D27" s="515"/>
      <c r="E27" s="518"/>
      <c r="F27" s="518"/>
      <c r="G27" s="518"/>
      <c r="H27" s="518"/>
      <c r="I27" s="518"/>
      <c r="J27" s="518"/>
      <c r="K27" s="518"/>
      <c r="L27" s="518"/>
      <c r="M27" s="518"/>
      <c r="N27" s="518"/>
      <c r="O27" s="518"/>
      <c r="P27" s="518"/>
      <c r="Q27" s="518"/>
      <c r="R27" s="518"/>
      <c r="S27" s="519"/>
      <c r="T27" s="460"/>
      <c r="U27" s="461"/>
      <c r="V27" s="461"/>
      <c r="W27" s="461"/>
      <c r="X27" s="461"/>
      <c r="Y27" s="461"/>
      <c r="Z27" s="462"/>
      <c r="AA27" s="460"/>
      <c r="AB27" s="461"/>
      <c r="AC27" s="461"/>
      <c r="AD27" s="461"/>
      <c r="AE27" s="461"/>
      <c r="AF27" s="461"/>
      <c r="AG27" s="484"/>
      <c r="AH27" s="64"/>
      <c r="AJ27" s="83"/>
      <c r="AK27" s="85"/>
      <c r="AM27" s="648" t="s">
        <v>55</v>
      </c>
      <c r="AN27" s="649"/>
      <c r="AO27" s="649"/>
      <c r="AP27" s="649"/>
      <c r="AQ27" s="662">
        <f>IF(T29-T30&gt;0,T29-T30,0)</f>
        <v>0</v>
      </c>
      <c r="AR27" s="663"/>
      <c r="AS27" s="663"/>
      <c r="AT27" s="664"/>
      <c r="AU27" s="1"/>
      <c r="AV27" s="648" t="s">
        <v>55</v>
      </c>
      <c r="AW27" s="649"/>
      <c r="AX27" s="649"/>
      <c r="AY27" s="649"/>
      <c r="AZ27" s="662">
        <f>IF(T31&gt;T32,T31-T32,0)</f>
        <v>0</v>
      </c>
      <c r="BA27" s="663"/>
      <c r="BB27" s="663"/>
      <c r="BC27" s="664"/>
      <c r="BD27" s="1"/>
      <c r="BE27" s="1"/>
      <c r="BF27" s="1"/>
    </row>
    <row r="28" spans="3:58" ht="18" customHeight="1">
      <c r="C28" s="554"/>
      <c r="D28" s="509" t="s">
        <v>41</v>
      </c>
      <c r="E28" s="510"/>
      <c r="F28" s="510"/>
      <c r="G28" s="510"/>
      <c r="H28" s="510"/>
      <c r="I28" s="510"/>
      <c r="J28" s="510"/>
      <c r="K28" s="510"/>
      <c r="L28" s="510"/>
      <c r="M28" s="510"/>
      <c r="N28" s="511" t="s">
        <v>187</v>
      </c>
      <c r="O28" s="376"/>
      <c r="P28" s="376"/>
      <c r="Q28" s="376"/>
      <c r="R28" s="376"/>
      <c r="S28" s="376"/>
      <c r="T28" s="376"/>
      <c r="U28" s="376"/>
      <c r="V28" s="376"/>
      <c r="W28" s="376"/>
      <c r="X28" s="376"/>
      <c r="Y28" s="376"/>
      <c r="Z28" s="377"/>
      <c r="AA28" s="549"/>
      <c r="AB28" s="550"/>
      <c r="AC28" s="550"/>
      <c r="AD28" s="550"/>
      <c r="AE28" s="550"/>
      <c r="AF28" s="550"/>
      <c r="AG28" s="11" t="s">
        <v>14</v>
      </c>
      <c r="AH28" s="34"/>
      <c r="AI28" s="51"/>
      <c r="AJ28" s="96"/>
      <c r="AK28" s="88"/>
      <c r="AL28" s="1"/>
      <c r="AM28" s="650" t="s">
        <v>182</v>
      </c>
      <c r="AN28" s="651"/>
      <c r="AO28" s="651"/>
      <c r="AP28" s="651"/>
      <c r="AQ28" s="308">
        <f>ROUNDDOWN(AA22*0.05,0)</f>
        <v>0</v>
      </c>
      <c r="AR28" s="309"/>
      <c r="AS28" s="309"/>
      <c r="AT28" s="310"/>
      <c r="AU28" s="1"/>
      <c r="AV28" s="650" t="s">
        <v>215</v>
      </c>
      <c r="AW28" s="651"/>
      <c r="AX28" s="651"/>
      <c r="AY28" s="651"/>
      <c r="AZ28" s="308">
        <f>IF(AZ27&gt;100000,100000,AZ27)</f>
        <v>0</v>
      </c>
      <c r="BA28" s="309"/>
      <c r="BB28" s="309"/>
      <c r="BC28" s="310"/>
      <c r="BD28" s="1"/>
      <c r="BE28" s="1"/>
      <c r="BF28" s="1"/>
    </row>
    <row r="29" spans="3:58" ht="18" customHeight="1" thickBot="1">
      <c r="C29" s="554"/>
      <c r="D29" s="529" t="s">
        <v>207</v>
      </c>
      <c r="E29" s="530"/>
      <c r="F29" s="530"/>
      <c r="G29" s="548" t="s">
        <v>208</v>
      </c>
      <c r="H29" s="489"/>
      <c r="I29" s="489"/>
      <c r="J29" s="489"/>
      <c r="K29" s="489"/>
      <c r="L29" s="489"/>
      <c r="M29" s="490"/>
      <c r="N29" s="665" t="s">
        <v>17</v>
      </c>
      <c r="O29" s="665"/>
      <c r="P29" s="665"/>
      <c r="Q29" s="665"/>
      <c r="R29" s="665"/>
      <c r="S29" s="665"/>
      <c r="T29" s="625"/>
      <c r="U29" s="626"/>
      <c r="V29" s="626"/>
      <c r="W29" s="626"/>
      <c r="X29" s="626"/>
      <c r="Y29" s="626"/>
      <c r="Z29" s="15" t="s">
        <v>0</v>
      </c>
      <c r="AA29" s="453">
        <f>IF(AND(T29="",T30=""),"",IF(AQ30&lt;2000000,AQ30,2000000))</f>
      </c>
      <c r="AB29" s="454"/>
      <c r="AC29" s="454"/>
      <c r="AD29" s="454"/>
      <c r="AE29" s="454"/>
      <c r="AF29" s="454"/>
      <c r="AG29" s="440" t="s">
        <v>0</v>
      </c>
      <c r="AH29" s="671"/>
      <c r="AI29" s="672"/>
      <c r="AJ29" s="657">
        <f>IF(AND(T29&lt;&gt;"",T31&lt;&gt;""),"㊟ 医療費控除とセルフメディケーション税制は一方のみしか適用できません","")</f>
      </c>
      <c r="AK29" s="86"/>
      <c r="AL29" s="634" t="s">
        <v>213</v>
      </c>
      <c r="AM29" s="652" t="s">
        <v>181</v>
      </c>
      <c r="AN29" s="653"/>
      <c r="AO29" s="653"/>
      <c r="AP29" s="653"/>
      <c r="AQ29" s="320">
        <f>IF(AQ28&gt;100000,100000,AQ28)</f>
        <v>0</v>
      </c>
      <c r="AR29" s="321"/>
      <c r="AS29" s="321"/>
      <c r="AT29" s="322"/>
      <c r="AU29" s="1"/>
      <c r="AV29" s="650">
        <v>-12000</v>
      </c>
      <c r="AW29" s="651"/>
      <c r="AX29" s="651"/>
      <c r="AY29" s="651"/>
      <c r="AZ29" s="308">
        <f>AZ28-12000</f>
        <v>-12000</v>
      </c>
      <c r="BA29" s="309"/>
      <c r="BB29" s="309"/>
      <c r="BC29" s="310"/>
      <c r="BD29" s="1"/>
      <c r="BE29" s="1"/>
      <c r="BF29" s="1"/>
    </row>
    <row r="30" spans="3:58" ht="18" customHeight="1" thickBot="1">
      <c r="C30" s="554"/>
      <c r="D30" s="531"/>
      <c r="E30" s="532"/>
      <c r="F30" s="532"/>
      <c r="G30" s="460"/>
      <c r="H30" s="461"/>
      <c r="I30" s="461"/>
      <c r="J30" s="461"/>
      <c r="K30" s="461"/>
      <c r="L30" s="461"/>
      <c r="M30" s="462"/>
      <c r="N30" s="315" t="s">
        <v>217</v>
      </c>
      <c r="O30" s="315"/>
      <c r="P30" s="315"/>
      <c r="Q30" s="315"/>
      <c r="R30" s="315"/>
      <c r="S30" s="315"/>
      <c r="T30" s="522"/>
      <c r="U30" s="523"/>
      <c r="V30" s="523"/>
      <c r="W30" s="523"/>
      <c r="X30" s="523"/>
      <c r="Y30" s="523"/>
      <c r="Z30" s="3" t="s">
        <v>0</v>
      </c>
      <c r="AA30" s="303"/>
      <c r="AB30" s="304"/>
      <c r="AC30" s="304"/>
      <c r="AD30" s="304"/>
      <c r="AE30" s="304"/>
      <c r="AF30" s="304"/>
      <c r="AG30" s="441"/>
      <c r="AH30" s="673"/>
      <c r="AI30" s="672"/>
      <c r="AJ30" s="657"/>
      <c r="AK30" s="86"/>
      <c r="AL30" s="634"/>
      <c r="AM30" s="619" t="s">
        <v>15</v>
      </c>
      <c r="AN30" s="620"/>
      <c r="AO30" s="620"/>
      <c r="AP30" s="620"/>
      <c r="AQ30" s="668">
        <f>IF(AQ27-AQ29&gt;=0,AQ27-AQ29,0)</f>
        <v>0</v>
      </c>
      <c r="AR30" s="669"/>
      <c r="AS30" s="669"/>
      <c r="AT30" s="670"/>
      <c r="AU30" s="1"/>
      <c r="AV30" s="619" t="s">
        <v>15</v>
      </c>
      <c r="AW30" s="620"/>
      <c r="AX30" s="620"/>
      <c r="AY30" s="674"/>
      <c r="AZ30" s="654">
        <f>IF(T31="","",IF(AZ29&lt;0,0,AZ29))</f>
      </c>
      <c r="BA30" s="655"/>
      <c r="BB30" s="655"/>
      <c r="BC30" s="656"/>
      <c r="BD30" s="1"/>
      <c r="BE30" s="1"/>
      <c r="BF30" s="1"/>
    </row>
    <row r="31" spans="3:60" ht="18" customHeight="1">
      <c r="C31" s="554"/>
      <c r="D31" s="531"/>
      <c r="E31" s="532"/>
      <c r="F31" s="532"/>
      <c r="G31" s="635" t="s">
        <v>216</v>
      </c>
      <c r="H31" s="636"/>
      <c r="I31" s="636"/>
      <c r="J31" s="636"/>
      <c r="K31" s="636"/>
      <c r="L31" s="636"/>
      <c r="M31" s="637"/>
      <c r="N31" s="506" t="s">
        <v>209</v>
      </c>
      <c r="O31" s="349"/>
      <c r="P31" s="349"/>
      <c r="Q31" s="349"/>
      <c r="R31" s="349"/>
      <c r="S31" s="350"/>
      <c r="T31" s="507"/>
      <c r="U31" s="508"/>
      <c r="V31" s="508"/>
      <c r="W31" s="508"/>
      <c r="X31" s="508"/>
      <c r="Y31" s="508"/>
      <c r="Z31" s="13" t="s">
        <v>0</v>
      </c>
      <c r="AA31" s="443">
        <f>IF(T31="",IF(T32="","",0),AZ30)</f>
      </c>
      <c r="AB31" s="444"/>
      <c r="AC31" s="444"/>
      <c r="AD31" s="444"/>
      <c r="AE31" s="444"/>
      <c r="AF31" s="444"/>
      <c r="AG31" s="455" t="s">
        <v>0</v>
      </c>
      <c r="AH31" s="671"/>
      <c r="AI31" s="672"/>
      <c r="AJ31" s="657"/>
      <c r="AK31" s="86"/>
      <c r="AL31" s="634"/>
      <c r="AM31" s="106"/>
      <c r="AN31" s="106"/>
      <c r="AO31" s="106"/>
      <c r="AP31" s="106"/>
      <c r="AQ31" s="106"/>
      <c r="AR31" s="106"/>
      <c r="AS31" s="109"/>
      <c r="AT31" s="110"/>
      <c r="AU31" s="110"/>
      <c r="AV31" s="110"/>
      <c r="AW31" s="51"/>
      <c r="AX31" s="51"/>
      <c r="AY31" s="51"/>
      <c r="AZ31" s="51"/>
      <c r="BA31" s="51"/>
      <c r="BB31" s="51"/>
      <c r="BC31" s="51"/>
      <c r="BD31" s="51"/>
      <c r="BE31" s="51"/>
      <c r="BF31" s="51"/>
      <c r="BG31" s="51"/>
      <c r="BH31" s="51"/>
    </row>
    <row r="32" spans="3:60" ht="18" customHeight="1">
      <c r="C32" s="554"/>
      <c r="D32" s="533"/>
      <c r="E32" s="534"/>
      <c r="F32" s="534"/>
      <c r="G32" s="638"/>
      <c r="H32" s="639"/>
      <c r="I32" s="639"/>
      <c r="J32" s="639"/>
      <c r="K32" s="639"/>
      <c r="L32" s="639"/>
      <c r="M32" s="640"/>
      <c r="N32" s="524" t="s">
        <v>217</v>
      </c>
      <c r="O32" s="524"/>
      <c r="P32" s="524"/>
      <c r="Q32" s="524"/>
      <c r="R32" s="524"/>
      <c r="S32" s="524"/>
      <c r="T32" s="666"/>
      <c r="U32" s="667"/>
      <c r="V32" s="667"/>
      <c r="W32" s="667"/>
      <c r="X32" s="667"/>
      <c r="Y32" s="667"/>
      <c r="Z32" s="119" t="s">
        <v>0</v>
      </c>
      <c r="AA32" s="303"/>
      <c r="AB32" s="304"/>
      <c r="AC32" s="304"/>
      <c r="AD32" s="304"/>
      <c r="AE32" s="304"/>
      <c r="AF32" s="304"/>
      <c r="AG32" s="441"/>
      <c r="AH32" s="673"/>
      <c r="AI32" s="672"/>
      <c r="AJ32" s="116"/>
      <c r="AK32" s="86"/>
      <c r="AL32" s="117"/>
      <c r="AM32" s="118"/>
      <c r="AN32" s="118"/>
      <c r="AO32" s="118"/>
      <c r="AP32" s="118"/>
      <c r="AQ32" s="118"/>
      <c r="AR32" s="118"/>
      <c r="AS32" s="109"/>
      <c r="AT32" s="110"/>
      <c r="AU32" s="110"/>
      <c r="AV32" s="110"/>
      <c r="AW32" s="51"/>
      <c r="AX32" s="51"/>
      <c r="AY32" s="51"/>
      <c r="AZ32" s="51"/>
      <c r="BA32" s="51"/>
      <c r="BB32" s="51"/>
      <c r="BC32" s="51"/>
      <c r="BD32" s="51"/>
      <c r="BE32" s="51"/>
      <c r="BF32" s="51"/>
      <c r="BG32" s="51"/>
      <c r="BH32" s="51"/>
    </row>
    <row r="33" spans="3:60" ht="18" customHeight="1" thickBot="1">
      <c r="C33" s="554"/>
      <c r="D33" s="545" t="s">
        <v>38</v>
      </c>
      <c r="E33" s="546"/>
      <c r="F33" s="546"/>
      <c r="G33" s="546"/>
      <c r="H33" s="546"/>
      <c r="I33" s="546"/>
      <c r="J33" s="546"/>
      <c r="K33" s="546"/>
      <c r="L33" s="546"/>
      <c r="M33" s="547"/>
      <c r="N33" s="509" t="s">
        <v>16</v>
      </c>
      <c r="O33" s="510"/>
      <c r="P33" s="510"/>
      <c r="Q33" s="510"/>
      <c r="R33" s="510"/>
      <c r="S33" s="560"/>
      <c r="T33" s="549"/>
      <c r="U33" s="550"/>
      <c r="V33" s="550"/>
      <c r="W33" s="550"/>
      <c r="X33" s="550"/>
      <c r="Y33" s="550"/>
      <c r="Z33" s="10" t="s">
        <v>0</v>
      </c>
      <c r="AA33" s="277">
        <f>IF(T33="","",T33)</f>
      </c>
      <c r="AB33" s="278"/>
      <c r="AC33" s="278"/>
      <c r="AD33" s="278"/>
      <c r="AE33" s="278"/>
      <c r="AF33" s="278"/>
      <c r="AG33" s="11" t="s">
        <v>14</v>
      </c>
      <c r="AH33" s="34"/>
      <c r="AJ33" s="97"/>
      <c r="AK33" s="86"/>
      <c r="AW33" s="1"/>
      <c r="AX33" s="1"/>
      <c r="AY33" s="1"/>
      <c r="AZ33" s="1"/>
      <c r="BA33" s="1"/>
      <c r="BB33" s="1"/>
      <c r="BC33" s="1"/>
      <c r="BD33" s="1"/>
      <c r="BE33" s="1"/>
      <c r="BF33" s="1"/>
      <c r="BG33" s="1"/>
      <c r="BH33" s="1"/>
    </row>
    <row r="34" spans="3:60" ht="18" customHeight="1" thickBot="1">
      <c r="C34" s="554"/>
      <c r="D34" s="316" t="s">
        <v>37</v>
      </c>
      <c r="E34" s="316"/>
      <c r="F34" s="316"/>
      <c r="G34" s="316"/>
      <c r="H34" s="316"/>
      <c r="I34" s="316"/>
      <c r="J34" s="316"/>
      <c r="K34" s="316"/>
      <c r="L34" s="316"/>
      <c r="M34" s="316"/>
      <c r="N34" s="509" t="s">
        <v>16</v>
      </c>
      <c r="O34" s="510"/>
      <c r="P34" s="510"/>
      <c r="Q34" s="510"/>
      <c r="R34" s="510"/>
      <c r="S34" s="560"/>
      <c r="T34" s="549"/>
      <c r="U34" s="550"/>
      <c r="V34" s="550"/>
      <c r="W34" s="550"/>
      <c r="X34" s="550"/>
      <c r="Y34" s="550"/>
      <c r="Z34" s="10" t="s">
        <v>0</v>
      </c>
      <c r="AA34" s="277">
        <f>IF(T34="","",T34)</f>
      </c>
      <c r="AB34" s="278"/>
      <c r="AC34" s="278"/>
      <c r="AD34" s="278"/>
      <c r="AE34" s="278"/>
      <c r="AF34" s="278"/>
      <c r="AG34" s="11" t="s">
        <v>14</v>
      </c>
      <c r="AH34" s="34"/>
      <c r="AJ34" s="83"/>
      <c r="AK34" s="85"/>
      <c r="AM34" s="292" t="s">
        <v>61</v>
      </c>
      <c r="AN34" s="293"/>
      <c r="AO34" s="293"/>
      <c r="AP34" s="293"/>
      <c r="AQ34" s="293"/>
      <c r="AR34" s="293"/>
      <c r="AS34" s="293"/>
      <c r="AT34" s="293"/>
      <c r="AU34" s="293"/>
      <c r="AV34" s="293"/>
      <c r="AW34" s="293"/>
      <c r="AX34" s="294"/>
      <c r="AY34" s="1"/>
      <c r="AZ34" s="1"/>
      <c r="BA34" s="1"/>
      <c r="BB34" s="1"/>
      <c r="BC34" s="1"/>
      <c r="BD34" s="1"/>
      <c r="BE34" s="1"/>
      <c r="BF34" s="1"/>
      <c r="BG34" s="1"/>
      <c r="BH34" s="1"/>
    </row>
    <row r="35" spans="3:60" ht="18" customHeight="1" thickTop="1">
      <c r="C35" s="554"/>
      <c r="D35" s="548" t="s">
        <v>39</v>
      </c>
      <c r="E35" s="489"/>
      <c r="F35" s="489"/>
      <c r="G35" s="489"/>
      <c r="H35" s="489"/>
      <c r="I35" s="489"/>
      <c r="J35" s="489"/>
      <c r="K35" s="489"/>
      <c r="L35" s="489"/>
      <c r="M35" s="490"/>
      <c r="N35" s="393" t="s">
        <v>189</v>
      </c>
      <c r="O35" s="348" t="s">
        <v>44</v>
      </c>
      <c r="P35" s="349"/>
      <c r="Q35" s="349"/>
      <c r="R35" s="349"/>
      <c r="S35" s="350"/>
      <c r="T35" s="507"/>
      <c r="U35" s="508"/>
      <c r="V35" s="508"/>
      <c r="W35" s="508"/>
      <c r="X35" s="508"/>
      <c r="Y35" s="508"/>
      <c r="Z35" s="13" t="s">
        <v>0</v>
      </c>
      <c r="AA35" s="443">
        <f>IF(AY38=0,"",IF(AY38&lt;70000,AY38,70000))</f>
      </c>
      <c r="AB35" s="444"/>
      <c r="AC35" s="444"/>
      <c r="AD35" s="444"/>
      <c r="AE35" s="444"/>
      <c r="AF35" s="444"/>
      <c r="AG35" s="455" t="s">
        <v>0</v>
      </c>
      <c r="AH35" s="34"/>
      <c r="AJ35" s="463"/>
      <c r="AK35" s="86"/>
      <c r="AM35" s="335"/>
      <c r="AN35" s="315"/>
      <c r="AO35" s="315"/>
      <c r="AP35" s="315" t="s">
        <v>58</v>
      </c>
      <c r="AQ35" s="315"/>
      <c r="AR35" s="315"/>
      <c r="AS35" s="315" t="s">
        <v>59</v>
      </c>
      <c r="AT35" s="315"/>
      <c r="AU35" s="315"/>
      <c r="AV35" s="315" t="s">
        <v>60</v>
      </c>
      <c r="AW35" s="315"/>
      <c r="AX35" s="471"/>
      <c r="AY35" s="1"/>
      <c r="AZ35" s="1"/>
      <c r="BA35" s="1"/>
      <c r="BB35" s="1"/>
      <c r="BC35" s="1"/>
      <c r="BD35" s="1"/>
      <c r="BE35" s="1"/>
      <c r="BF35" s="1"/>
      <c r="BG35" s="1"/>
      <c r="BH35" s="1"/>
    </row>
    <row r="36" spans="3:60" ht="18" customHeight="1" thickBot="1">
      <c r="C36" s="554"/>
      <c r="D36" s="527"/>
      <c r="E36" s="482"/>
      <c r="F36" s="482"/>
      <c r="G36" s="482"/>
      <c r="H36" s="482"/>
      <c r="I36" s="482"/>
      <c r="J36" s="482"/>
      <c r="K36" s="482"/>
      <c r="L36" s="482"/>
      <c r="M36" s="483"/>
      <c r="N36" s="394"/>
      <c r="O36" s="535" t="s">
        <v>45</v>
      </c>
      <c r="P36" s="536"/>
      <c r="Q36" s="536"/>
      <c r="R36" s="536"/>
      <c r="S36" s="537"/>
      <c r="T36" s="525"/>
      <c r="U36" s="526"/>
      <c r="V36" s="526"/>
      <c r="W36" s="526"/>
      <c r="X36" s="526"/>
      <c r="Y36" s="526"/>
      <c r="Z36" s="12" t="s">
        <v>0</v>
      </c>
      <c r="AA36" s="453"/>
      <c r="AB36" s="454"/>
      <c r="AC36" s="454"/>
      <c r="AD36" s="454"/>
      <c r="AE36" s="454"/>
      <c r="AF36" s="454"/>
      <c r="AG36" s="440"/>
      <c r="AH36" s="34"/>
      <c r="AJ36" s="463"/>
      <c r="AK36" s="86"/>
      <c r="AM36" s="468" t="s">
        <v>56</v>
      </c>
      <c r="AN36" s="469"/>
      <c r="AO36" s="469"/>
      <c r="AP36" s="442">
        <f>IF(T35&lt;12001,T35,IF(T35&lt;32001,ROUNDUP(T35/2+6000,0),IF(T35&lt;56001,ROUNDUP(T35/4+14000,0),28000)))</f>
        <v>0</v>
      </c>
      <c r="AQ36" s="442" t="e">
        <f>IF(#REF!&lt;12001,#REF!,IF(#REF!&lt;32001,ROUNDUP(#REF!/2+6000,0),IF(#REF!&lt;56001,ROUNDUP(#REF!/4+14000,0),28000)))</f>
        <v>#REF!</v>
      </c>
      <c r="AR36" s="442" t="e">
        <f>IF(#REF!&lt;12001,#REF!,IF(#REF!&lt;32001,ROUNDUP(#REF!/2+6000,0),IF(#REF!&lt;56001,ROUNDUP(#REF!/4+14000,0),28000)))</f>
        <v>#REF!</v>
      </c>
      <c r="AS36" s="442">
        <f>IF(T37&lt;12001,T37,IF(T37&lt;32001,ROUNDUP(T37/2+6000,0),IF(T37&lt;56001,ROUNDUP(T37/4+14000,0),28000)))</f>
        <v>0</v>
      </c>
      <c r="AT36" s="442" t="e">
        <f>IF(#REF!&lt;12001,#REF!,IF(#REF!&lt;32001,ROUNDUP(#REF!/2+6000,0),IF(#REF!&lt;56001,ROUNDUP(#REF!/4+14000,0),28000)))</f>
        <v>#REF!</v>
      </c>
      <c r="AU36" s="442" t="e">
        <f>IF(#REF!&lt;12001,#REF!,IF(#REF!&lt;32001,ROUNDUP(#REF!/2+6000,0),IF(#REF!&lt;56001,ROUNDUP(#REF!/4+14000,0),28000)))</f>
        <v>#REF!</v>
      </c>
      <c r="AV36" s="442">
        <f>IF(T39&lt;12001,T39,IF(T39&lt;32001,ROUNDUP(T39/2+6000,0),IF(T39&lt;56001,ROUNDUP(T39/4+14000,0),28000)))</f>
        <v>0</v>
      </c>
      <c r="AW36" s="442" t="e">
        <f>IF(#REF!&lt;12001,#REF!,IF(#REF!&lt;32001,ROUNDUP(#REF!/2+6000,0),IF(#REF!&lt;56001,ROUNDUP(#REF!/4+14000,0),28000)))</f>
        <v>#REF!</v>
      </c>
      <c r="AX36" s="456" t="e">
        <f>IF(#REF!&lt;12001,#REF!,IF(#REF!&lt;32001,ROUNDUP(#REF!/2+6000,0),IF(#REF!&lt;56001,ROUNDUP(#REF!/4+14000,0),28000)))</f>
        <v>#REF!</v>
      </c>
      <c r="AY36" s="1"/>
      <c r="AZ36" s="1"/>
      <c r="BA36" s="1"/>
      <c r="BB36" s="1"/>
      <c r="BC36" s="1"/>
      <c r="BD36" s="1"/>
      <c r="BE36" s="1"/>
      <c r="BF36" s="1"/>
      <c r="BG36" s="1"/>
      <c r="BH36" s="1"/>
    </row>
    <row r="37" spans="3:60" ht="18" customHeight="1" thickBot="1">
      <c r="C37" s="554"/>
      <c r="D37" s="527"/>
      <c r="E37" s="482"/>
      <c r="F37" s="482"/>
      <c r="G37" s="482"/>
      <c r="H37" s="482"/>
      <c r="I37" s="482"/>
      <c r="J37" s="482"/>
      <c r="K37" s="482"/>
      <c r="L37" s="482"/>
      <c r="M37" s="483"/>
      <c r="N37" s="394"/>
      <c r="O37" s="535" t="s">
        <v>18</v>
      </c>
      <c r="P37" s="536"/>
      <c r="Q37" s="536"/>
      <c r="R37" s="536"/>
      <c r="S37" s="537"/>
      <c r="T37" s="525"/>
      <c r="U37" s="526"/>
      <c r="V37" s="526"/>
      <c r="W37" s="526"/>
      <c r="X37" s="526"/>
      <c r="Y37" s="526"/>
      <c r="Z37" s="14" t="s">
        <v>0</v>
      </c>
      <c r="AA37" s="453"/>
      <c r="AB37" s="454"/>
      <c r="AC37" s="454"/>
      <c r="AD37" s="454"/>
      <c r="AE37" s="454"/>
      <c r="AF37" s="454"/>
      <c r="AG37" s="440"/>
      <c r="AH37" s="34"/>
      <c r="AJ37" s="463"/>
      <c r="AK37" s="86"/>
      <c r="AM37" s="335" t="s">
        <v>57</v>
      </c>
      <c r="AN37" s="315"/>
      <c r="AO37" s="315"/>
      <c r="AP37" s="371">
        <f>IF(T36&lt;15001,T36,IF(T36&lt;40001,ROUNDUP(T36/2+7500,0),IF(T36&lt;70001,ROUNDUP(T36/4+17500,0),35000)))</f>
        <v>0</v>
      </c>
      <c r="AQ37" s="372" t="e">
        <f>IF(#REF!&lt;15001,#REF!,IF(#REF!&lt;40001,ROUNDUP(#REF!/2+7500,0),IF(#REF!&lt;70001,ROUNDUP(#REF!/4+17500,0),35000)))</f>
        <v>#REF!</v>
      </c>
      <c r="AR37" s="470" t="e">
        <f>IF(#REF!&lt;15001,#REF!,IF(#REF!&lt;40001,ROUNDUP(#REF!/2+7500,0),IF(#REF!&lt;70001,ROUNDUP(#REF!/4+17500,0),35000)))</f>
        <v>#REF!</v>
      </c>
      <c r="AS37" s="371">
        <f>IF(T38&lt;15001,T38,IF(T38&lt;40001,ROUNDUP(T38/2+7500,0),IF(T38&lt;70001,ROUNDUP(T38/4+17500,0),35000)))</f>
        <v>0</v>
      </c>
      <c r="AT37" s="372" t="e">
        <f>IF(#REF!&lt;15001,#REF!,IF(#REF!&lt;40001,ROUNDUP(#REF!/2+7500,0),IF(#REF!&lt;70001,ROUNDUP(#REF!/4+17500,0),35000)))</f>
        <v>#REF!</v>
      </c>
      <c r="AU37" s="470" t="e">
        <f>IF(#REF!&lt;15001,#REF!,IF(#REF!&lt;40001,ROUNDUP(#REF!/2+7500,0),IF(#REF!&lt;70001,ROUNDUP(#REF!/4+17500,0),35000)))</f>
        <v>#REF!</v>
      </c>
      <c r="AV37" s="315" t="s">
        <v>62</v>
      </c>
      <c r="AW37" s="315"/>
      <c r="AX37" s="471"/>
      <c r="AY37" s="465" t="s">
        <v>63</v>
      </c>
      <c r="AZ37" s="466"/>
      <c r="BA37" s="467"/>
      <c r="BB37" s="1"/>
      <c r="BC37" s="1"/>
      <c r="BD37" s="1"/>
      <c r="BE37" s="1"/>
      <c r="BF37" s="1"/>
      <c r="BG37" s="1"/>
      <c r="BH37" s="1"/>
    </row>
    <row r="38" spans="3:60" ht="18" customHeight="1" thickBot="1">
      <c r="C38" s="554"/>
      <c r="D38" s="527"/>
      <c r="E38" s="482"/>
      <c r="F38" s="482"/>
      <c r="G38" s="482"/>
      <c r="H38" s="482"/>
      <c r="I38" s="482"/>
      <c r="J38" s="482"/>
      <c r="K38" s="482"/>
      <c r="L38" s="482"/>
      <c r="M38" s="483"/>
      <c r="N38" s="394"/>
      <c r="O38" s="535" t="s">
        <v>19</v>
      </c>
      <c r="P38" s="536"/>
      <c r="Q38" s="536"/>
      <c r="R38" s="536"/>
      <c r="S38" s="537"/>
      <c r="T38" s="525"/>
      <c r="U38" s="526"/>
      <c r="V38" s="526"/>
      <c r="W38" s="526"/>
      <c r="X38" s="526"/>
      <c r="Y38" s="526"/>
      <c r="Z38" s="14" t="s">
        <v>0</v>
      </c>
      <c r="AA38" s="453"/>
      <c r="AB38" s="454"/>
      <c r="AC38" s="454"/>
      <c r="AD38" s="454"/>
      <c r="AE38" s="454"/>
      <c r="AF38" s="454"/>
      <c r="AG38" s="440"/>
      <c r="AH38" s="34"/>
      <c r="AJ38" s="463"/>
      <c r="AK38" s="86"/>
      <c r="AM38" s="500" t="s">
        <v>7</v>
      </c>
      <c r="AN38" s="501"/>
      <c r="AO38" s="501"/>
      <c r="AP38" s="472">
        <f>IF(AP37&lt;28001,IF((AP37+AP36)&lt;28001,AP37+AP36,28000),AP37)</f>
        <v>0</v>
      </c>
      <c r="AQ38" s="472" t="e">
        <f>IF(AQ36&lt;28001,IF((AQ36+AQ37)&lt;28001,AQ36+AQ37,28000),AQ36)</f>
        <v>#REF!</v>
      </c>
      <c r="AR38" s="472" t="e">
        <f>IF(AR36&lt;28001,IF((AR36+AR37)&lt;28001,AR36+AR37,28000),AR36)</f>
        <v>#REF!</v>
      </c>
      <c r="AS38" s="472">
        <f>IF(AS37&lt;28001,IF((AS37+AS36)&lt;28001,AS37+AS36,28000),AS37)</f>
        <v>0</v>
      </c>
      <c r="AT38" s="472" t="e">
        <f>IF(AT36&lt;28001,IF((AT36+AT37)&lt;28001,AT36+AT37,28000),AT36)</f>
        <v>#REF!</v>
      </c>
      <c r="AU38" s="472" t="e">
        <f>IF(AU36&lt;28001,IF((AU36+AU37)&lt;28001,AU36+AU37,28000),AU36)</f>
        <v>#REF!</v>
      </c>
      <c r="AV38" s="472">
        <f>AV36</f>
        <v>0</v>
      </c>
      <c r="AW38" s="472"/>
      <c r="AX38" s="477"/>
      <c r="AY38" s="464">
        <f>AP38+AS38+AV38</f>
        <v>0</v>
      </c>
      <c r="AZ38" s="330"/>
      <c r="BA38" s="331"/>
      <c r="BB38" s="1"/>
      <c r="BC38" s="1"/>
      <c r="BD38" s="1"/>
      <c r="BE38" s="1"/>
      <c r="BF38" s="1"/>
      <c r="BG38" s="1"/>
      <c r="BH38" s="1"/>
    </row>
    <row r="39" spans="3:60" ht="18" customHeight="1" thickBot="1">
      <c r="C39" s="554"/>
      <c r="D39" s="460"/>
      <c r="E39" s="461"/>
      <c r="F39" s="461"/>
      <c r="G39" s="461"/>
      <c r="H39" s="461"/>
      <c r="I39" s="461"/>
      <c r="J39" s="461"/>
      <c r="K39" s="461"/>
      <c r="L39" s="461"/>
      <c r="M39" s="462"/>
      <c r="N39" s="394"/>
      <c r="O39" s="345" t="s">
        <v>42</v>
      </c>
      <c r="P39" s="346"/>
      <c r="Q39" s="346"/>
      <c r="R39" s="346"/>
      <c r="S39" s="347"/>
      <c r="T39" s="522"/>
      <c r="U39" s="523"/>
      <c r="V39" s="523"/>
      <c r="W39" s="523"/>
      <c r="X39" s="523"/>
      <c r="Y39" s="523"/>
      <c r="Z39" s="107" t="s">
        <v>0</v>
      </c>
      <c r="AA39" s="303"/>
      <c r="AB39" s="304"/>
      <c r="AC39" s="304"/>
      <c r="AD39" s="304"/>
      <c r="AE39" s="304"/>
      <c r="AF39" s="304"/>
      <c r="AG39" s="441"/>
      <c r="AH39" s="34"/>
      <c r="AJ39" s="463"/>
      <c r="AK39" s="86"/>
      <c r="AN39" s="1"/>
      <c r="AO39" s="1"/>
      <c r="AP39" s="1"/>
      <c r="AQ39" s="1"/>
      <c r="AR39" s="1"/>
      <c r="AS39" s="1"/>
      <c r="AT39" s="1"/>
      <c r="AU39" s="1"/>
      <c r="AV39" s="1"/>
      <c r="AW39" s="1"/>
      <c r="AX39" s="1"/>
      <c r="AY39" s="1"/>
      <c r="AZ39" s="1"/>
      <c r="BA39" s="1"/>
      <c r="BB39" s="1"/>
      <c r="BC39" s="1"/>
      <c r="BD39" s="1"/>
      <c r="BE39" s="1"/>
      <c r="BF39" s="1"/>
      <c r="BG39" s="1"/>
      <c r="BH39" s="1"/>
    </row>
    <row r="40" spans="3:60" ht="18" customHeight="1" thickBot="1">
      <c r="C40" s="554"/>
      <c r="D40" s="527" t="s">
        <v>40</v>
      </c>
      <c r="E40" s="482"/>
      <c r="F40" s="482"/>
      <c r="G40" s="482"/>
      <c r="H40" s="482"/>
      <c r="I40" s="482"/>
      <c r="J40" s="482"/>
      <c r="K40" s="482"/>
      <c r="L40" s="482"/>
      <c r="M40" s="483"/>
      <c r="N40" s="394"/>
      <c r="O40" s="348" t="s">
        <v>43</v>
      </c>
      <c r="P40" s="349"/>
      <c r="Q40" s="349"/>
      <c r="R40" s="349"/>
      <c r="S40" s="350"/>
      <c r="T40" s="507"/>
      <c r="U40" s="508"/>
      <c r="V40" s="508"/>
      <c r="W40" s="508"/>
      <c r="X40" s="508"/>
      <c r="Y40" s="508"/>
      <c r="Z40" s="13" t="s">
        <v>0</v>
      </c>
      <c r="AA40" s="443">
        <f>IF(AU42=0,"",AU42)</f>
      </c>
      <c r="AB40" s="444"/>
      <c r="AC40" s="444"/>
      <c r="AD40" s="444"/>
      <c r="AE40" s="444"/>
      <c r="AF40" s="444"/>
      <c r="AG40" s="455" t="s">
        <v>0</v>
      </c>
      <c r="AH40" s="34"/>
      <c r="AJ40" s="463"/>
      <c r="AK40" s="86"/>
      <c r="AM40" s="473" t="s">
        <v>20</v>
      </c>
      <c r="AN40" s="474"/>
      <c r="AO40" s="474"/>
      <c r="AP40" s="474"/>
      <c r="AQ40" s="474"/>
      <c r="AR40" s="474"/>
      <c r="AS40" s="474"/>
      <c r="AT40" s="474"/>
      <c r="AU40" s="474"/>
      <c r="AV40" s="474"/>
      <c r="AW40" s="474"/>
      <c r="AX40" s="475"/>
      <c r="AY40" s="1"/>
      <c r="AZ40" s="1"/>
      <c r="BA40" s="1"/>
      <c r="BB40" s="1"/>
      <c r="BC40" s="1"/>
      <c r="BD40" s="1"/>
      <c r="BE40" s="1"/>
      <c r="BF40" s="1"/>
      <c r="BG40" s="1"/>
      <c r="BH40" s="1"/>
    </row>
    <row r="41" spans="3:60" ht="18" customHeight="1" thickBot="1" thickTop="1">
      <c r="C41" s="555"/>
      <c r="D41" s="528"/>
      <c r="E41" s="479"/>
      <c r="F41" s="479"/>
      <c r="G41" s="479"/>
      <c r="H41" s="479"/>
      <c r="I41" s="479"/>
      <c r="J41" s="479"/>
      <c r="K41" s="479"/>
      <c r="L41" s="479"/>
      <c r="M41" s="480"/>
      <c r="N41" s="395"/>
      <c r="O41" s="351" t="s">
        <v>21</v>
      </c>
      <c r="P41" s="352"/>
      <c r="Q41" s="352"/>
      <c r="R41" s="352"/>
      <c r="S41" s="353"/>
      <c r="T41" s="504"/>
      <c r="U41" s="505"/>
      <c r="V41" s="505"/>
      <c r="W41" s="505"/>
      <c r="X41" s="505"/>
      <c r="Y41" s="505"/>
      <c r="Z41" s="16" t="s">
        <v>0</v>
      </c>
      <c r="AA41" s="445"/>
      <c r="AB41" s="446"/>
      <c r="AC41" s="446"/>
      <c r="AD41" s="446"/>
      <c r="AE41" s="446"/>
      <c r="AF41" s="446"/>
      <c r="AG41" s="576"/>
      <c r="AH41" s="34"/>
      <c r="AJ41" s="463"/>
      <c r="AK41" s="86"/>
      <c r="AM41" s="476" t="s">
        <v>65</v>
      </c>
      <c r="AN41" s="461"/>
      <c r="AO41" s="461"/>
      <c r="AP41" s="462"/>
      <c r="AQ41" s="460" t="s">
        <v>64</v>
      </c>
      <c r="AR41" s="461"/>
      <c r="AS41" s="461"/>
      <c r="AT41" s="462"/>
      <c r="AU41" s="461" t="s">
        <v>63</v>
      </c>
      <c r="AV41" s="461"/>
      <c r="AW41" s="461"/>
      <c r="AX41" s="484"/>
      <c r="AY41" s="1"/>
      <c r="AZ41" s="1"/>
      <c r="BA41" s="1"/>
      <c r="BB41" s="1"/>
      <c r="BC41" s="1"/>
      <c r="BD41" s="1"/>
      <c r="BE41" s="1"/>
      <c r="BF41" s="1"/>
      <c r="BG41" s="1"/>
      <c r="BH41" s="1"/>
    </row>
    <row r="42" spans="3:60" ht="18" customHeight="1" thickBot="1">
      <c r="C42" s="512" t="s">
        <v>210</v>
      </c>
      <c r="D42" s="513"/>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56"/>
      <c r="AH42" s="66"/>
      <c r="AJ42" s="83"/>
      <c r="AK42" s="85"/>
      <c r="AM42" s="447">
        <f>IF(T40/2&lt;25000,T40/2,25000)</f>
        <v>0</v>
      </c>
      <c r="AN42" s="259" t="e">
        <f>IF(#REF!/2&lt;25000,#REF!/2,25000)</f>
        <v>#REF!</v>
      </c>
      <c r="AO42" s="259" t="e">
        <f>IF(#REF!/2&lt;25000,#REF!/2,25000)</f>
        <v>#REF!</v>
      </c>
      <c r="AP42" s="448" t="e">
        <f>IF(#REF!/2&lt;25000,#REF!/2,25000)</f>
        <v>#REF!</v>
      </c>
      <c r="AQ42" s="258">
        <f>IF(T41&lt;5001,T41,IF(T41&lt;15001,ROUNDUP(T41/2+2500,0),10000))</f>
        <v>0</v>
      </c>
      <c r="AR42" s="259" t="e">
        <f>IF(#REF!&lt;5001,#REF!,IF(#REF!&lt;15001,ROUNDUP(#REF!/2+2500,0),10000))</f>
        <v>#REF!</v>
      </c>
      <c r="AS42" s="259" t="e">
        <f>IF(#REF!&lt;5001,#REF!,IF(#REF!&lt;15001,ROUNDUP(#REF!/2+2500,0),10000))</f>
        <v>#REF!</v>
      </c>
      <c r="AT42" s="448" t="e">
        <f>IF(#REF!&lt;5001,#REF!,IF(#REF!&lt;15001,ROUNDUP(#REF!/2+2500,0),10000))</f>
        <v>#REF!</v>
      </c>
      <c r="AU42" s="258">
        <f>IF((AM42+AQ42)&lt;=25000,AM42+AQ42,25000)</f>
        <v>0</v>
      </c>
      <c r="AV42" s="259">
        <f>IF((AV40+AV41)&lt;=25000,AV40+AV41,25000)</f>
        <v>0</v>
      </c>
      <c r="AW42" s="259">
        <f>IF((AW40+AW41)&lt;=25000,AW40+AW41,25000)</f>
        <v>0</v>
      </c>
      <c r="AX42" s="260">
        <f>IF((AX40+AX41)&lt;=25000,AX40+AX41,25000)</f>
        <v>0</v>
      </c>
      <c r="BC42" s="1"/>
      <c r="BD42" s="1"/>
      <c r="BE42" s="1"/>
      <c r="BF42" s="1"/>
      <c r="BG42" s="1"/>
      <c r="BH42" s="1"/>
    </row>
    <row r="43" spans="3:60" ht="18" customHeight="1" thickBot="1">
      <c r="C43" s="514"/>
      <c r="D43" s="515"/>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57"/>
      <c r="AH43" s="66"/>
      <c r="AJ43" s="83"/>
      <c r="AK43" s="85"/>
      <c r="BC43" s="1"/>
      <c r="BD43" s="1"/>
      <c r="BE43" s="1"/>
      <c r="BF43" s="1"/>
      <c r="BG43" s="1"/>
      <c r="BH43" s="1"/>
    </row>
    <row r="44" spans="3:54" ht="18" customHeight="1" thickBot="1">
      <c r="C44" s="554"/>
      <c r="D44" s="509" t="s">
        <v>47</v>
      </c>
      <c r="E44" s="510"/>
      <c r="F44" s="510"/>
      <c r="G44" s="510"/>
      <c r="H44" s="510"/>
      <c r="I44" s="510"/>
      <c r="J44" s="510"/>
      <c r="K44" s="510"/>
      <c r="L44" s="510"/>
      <c r="M44" s="510"/>
      <c r="N44" s="510"/>
      <c r="O44" s="510"/>
      <c r="P44" s="510"/>
      <c r="Q44" s="510"/>
      <c r="R44" s="510"/>
      <c r="S44" s="560"/>
      <c r="T44" s="538"/>
      <c r="U44" s="539"/>
      <c r="V44" s="539"/>
      <c r="W44" s="539"/>
      <c r="X44" s="539"/>
      <c r="Y44" s="539"/>
      <c r="Z44" s="540"/>
      <c r="AA44" s="369">
        <f>IF(T44=AM46,260000,IF(T44=AM47,300000,IF(T44=AM48,260000,IF(T44="",""))))</f>
      </c>
      <c r="AB44" s="370"/>
      <c r="AC44" s="370"/>
      <c r="AD44" s="370"/>
      <c r="AE44" s="370"/>
      <c r="AF44" s="370"/>
      <c r="AG44" s="11" t="s">
        <v>14</v>
      </c>
      <c r="AH44" s="34"/>
      <c r="AJ44" s="83">
        <f>IF(AND(OR(T44=AM47,T44=AM48),T53="",T54="",T56="",T57=""),"㊟ 扶養親族（子）の入力がありません",IF(AND(OR(T44=AM47,T44=AM48),AA22&gt;5000000),"㊟ 所得が５００万円を超えています",""))</f>
      </c>
      <c r="AK44" s="85"/>
      <c r="AL44" s="91" t="s">
        <v>176</v>
      </c>
      <c r="AM44" s="292" t="s">
        <v>27</v>
      </c>
      <c r="AN44" s="293"/>
      <c r="AO44" s="293"/>
      <c r="AP44" s="294"/>
      <c r="AQ44" s="292" t="s">
        <v>22</v>
      </c>
      <c r="AR44" s="293"/>
      <c r="AS44" s="293"/>
      <c r="AT44" s="294"/>
      <c r="AU44" s="292" t="s">
        <v>23</v>
      </c>
      <c r="AV44" s="293"/>
      <c r="AW44" s="293"/>
      <c r="AX44" s="294"/>
      <c r="AY44" s="292" t="s">
        <v>245</v>
      </c>
      <c r="AZ44" s="293"/>
      <c r="BA44" s="293"/>
      <c r="BB44" s="294"/>
    </row>
    <row r="45" spans="3:54" ht="18" customHeight="1" thickTop="1">
      <c r="C45" s="554"/>
      <c r="D45" s="509" t="s">
        <v>46</v>
      </c>
      <c r="E45" s="510"/>
      <c r="F45" s="510"/>
      <c r="G45" s="510"/>
      <c r="H45" s="510"/>
      <c r="I45" s="510"/>
      <c r="J45" s="510"/>
      <c r="K45" s="510"/>
      <c r="L45" s="510"/>
      <c r="M45" s="510"/>
      <c r="N45" s="510"/>
      <c r="O45" s="510"/>
      <c r="P45" s="510"/>
      <c r="Q45" s="510"/>
      <c r="R45" s="510"/>
      <c r="S45" s="560"/>
      <c r="T45" s="538"/>
      <c r="U45" s="539"/>
      <c r="V45" s="539"/>
      <c r="W45" s="539"/>
      <c r="X45" s="539"/>
      <c r="Y45" s="539"/>
      <c r="Z45" s="540"/>
      <c r="AA45" s="369">
        <f>IF(T45=AQ46,260000,"")</f>
      </c>
      <c r="AB45" s="370"/>
      <c r="AC45" s="370"/>
      <c r="AD45" s="370"/>
      <c r="AE45" s="370"/>
      <c r="AF45" s="370"/>
      <c r="AG45" s="11" t="s">
        <v>14</v>
      </c>
      <c r="AH45" s="34"/>
      <c r="AJ45" s="83">
        <f>IF(AND(T45=AQ46,AA22&gt;650000),"㊟ 所得金額の合計が65万円を超えています","")</f>
      </c>
      <c r="AK45" s="85"/>
      <c r="AL45" s="91" t="s">
        <v>176</v>
      </c>
      <c r="AM45" s="111"/>
      <c r="AN45" s="112"/>
      <c r="AO45" s="112"/>
      <c r="AP45" s="115"/>
      <c r="AQ45" s="111"/>
      <c r="AR45" s="112"/>
      <c r="AS45" s="112"/>
      <c r="AT45" s="115"/>
      <c r="AU45" s="111"/>
      <c r="AV45" s="112"/>
      <c r="AW45" s="112"/>
      <c r="AX45" s="115"/>
      <c r="AY45" s="111"/>
      <c r="AZ45" s="112"/>
      <c r="BA45" s="112"/>
      <c r="BB45" s="115"/>
    </row>
    <row r="46" spans="3:54" ht="18" customHeight="1" thickBot="1">
      <c r="C46" s="554"/>
      <c r="D46" s="509" t="s">
        <v>48</v>
      </c>
      <c r="E46" s="510"/>
      <c r="F46" s="510"/>
      <c r="G46" s="510"/>
      <c r="H46" s="510"/>
      <c r="I46" s="510"/>
      <c r="J46" s="510"/>
      <c r="K46" s="510"/>
      <c r="L46" s="510"/>
      <c r="M46" s="510"/>
      <c r="N46" s="510"/>
      <c r="O46" s="510"/>
      <c r="P46" s="510"/>
      <c r="Q46" s="510"/>
      <c r="R46" s="510"/>
      <c r="S46" s="560"/>
      <c r="T46" s="538"/>
      <c r="U46" s="539"/>
      <c r="V46" s="539"/>
      <c r="W46" s="539"/>
      <c r="X46" s="539"/>
      <c r="Y46" s="539"/>
      <c r="Z46" s="540"/>
      <c r="AA46" s="369">
        <f>IF(T46=AU46,260000,IF(T46=AU47,300000,IF(T46=AU45,"")))</f>
      </c>
      <c r="AB46" s="370"/>
      <c r="AC46" s="370"/>
      <c r="AD46" s="370"/>
      <c r="AE46" s="370"/>
      <c r="AF46" s="370"/>
      <c r="AG46" s="11" t="s">
        <v>14</v>
      </c>
      <c r="AH46" s="34"/>
      <c r="AJ46" s="83"/>
      <c r="AK46" s="85"/>
      <c r="AM46" s="113" t="s">
        <v>89</v>
      </c>
      <c r="AN46" s="19"/>
      <c r="AO46" s="19"/>
      <c r="AP46" s="20"/>
      <c r="AQ46" s="114" t="s">
        <v>28</v>
      </c>
      <c r="AR46" s="22"/>
      <c r="AS46" s="22"/>
      <c r="AT46" s="25"/>
      <c r="AU46" s="113" t="s">
        <v>29</v>
      </c>
      <c r="AV46" s="19"/>
      <c r="AW46" s="19"/>
      <c r="AX46" s="20"/>
      <c r="AY46" s="114" t="s">
        <v>28</v>
      </c>
      <c r="AZ46" s="22"/>
      <c r="BA46" s="22"/>
      <c r="BB46" s="25"/>
    </row>
    <row r="47" spans="3:50" ht="18" customHeight="1" thickBot="1">
      <c r="C47" s="555"/>
      <c r="D47" s="558" t="s">
        <v>256</v>
      </c>
      <c r="E47" s="417"/>
      <c r="F47" s="417"/>
      <c r="G47" s="417"/>
      <c r="H47" s="417"/>
      <c r="I47" s="417"/>
      <c r="J47" s="417"/>
      <c r="K47" s="417"/>
      <c r="L47" s="417"/>
      <c r="M47" s="417"/>
      <c r="N47" s="417"/>
      <c r="O47" s="417"/>
      <c r="P47" s="417"/>
      <c r="Q47" s="417"/>
      <c r="R47" s="417"/>
      <c r="S47" s="559"/>
      <c r="T47" s="497"/>
      <c r="U47" s="498"/>
      <c r="V47" s="498"/>
      <c r="W47" s="498"/>
      <c r="X47" s="498"/>
      <c r="Y47" s="498"/>
      <c r="Z47" s="499"/>
      <c r="AA47" s="457"/>
      <c r="AB47" s="458"/>
      <c r="AC47" s="458"/>
      <c r="AD47" s="458"/>
      <c r="AE47" s="458"/>
      <c r="AF47" s="458"/>
      <c r="AG47" s="459"/>
      <c r="AH47" s="67"/>
      <c r="AJ47" s="83">
        <f>IF(AND(T47=AY46,OR(T44&lt;&gt;"",T50&lt;&gt;"",T52&lt;&gt;"")),"㊟ 婚姻歴のある場合は、未成年の【○】をはずしてください",IF(AND(T47=AY46,T18&lt;&gt;0),"㊟ 年金収入に金額が入力されています。",""))</f>
      </c>
      <c r="AK47" s="85"/>
      <c r="AL47" s="90" t="s">
        <v>176</v>
      </c>
      <c r="AM47" s="113" t="s">
        <v>88</v>
      </c>
      <c r="AN47" s="19"/>
      <c r="AO47" s="19"/>
      <c r="AP47" s="20"/>
      <c r="AQ47" s="5"/>
      <c r="AR47" s="23"/>
      <c r="AS47" s="1"/>
      <c r="AT47" s="1"/>
      <c r="AU47" s="114" t="s">
        <v>30</v>
      </c>
      <c r="AV47" s="22"/>
      <c r="AW47" s="22"/>
      <c r="AX47" s="25"/>
    </row>
    <row r="48" spans="3:48" ht="18" customHeight="1" thickBot="1">
      <c r="C48" s="512" t="s">
        <v>211</v>
      </c>
      <c r="D48" s="513"/>
      <c r="E48" s="516" t="s">
        <v>24</v>
      </c>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56"/>
      <c r="AH48" s="66"/>
      <c r="AJ48" s="83"/>
      <c r="AK48" s="85"/>
      <c r="AM48" s="114" t="s">
        <v>90</v>
      </c>
      <c r="AN48" s="22"/>
      <c r="AO48" s="22"/>
      <c r="AP48" s="25"/>
      <c r="AQ48" s="5"/>
      <c r="AR48" s="1"/>
      <c r="AS48" s="1"/>
      <c r="AT48" s="1"/>
      <c r="AU48" s="1"/>
      <c r="AV48" s="1"/>
    </row>
    <row r="49" spans="3:71" ht="18" customHeight="1" thickBot="1">
      <c r="C49" s="514"/>
      <c r="D49" s="515"/>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57"/>
      <c r="AH49" s="66"/>
      <c r="AJ49" s="83"/>
      <c r="AK49" s="85"/>
      <c r="AM49" s="228" t="s">
        <v>236</v>
      </c>
      <c r="AN49" s="229"/>
      <c r="AO49" s="229"/>
      <c r="AP49" s="229"/>
      <c r="AQ49" s="229"/>
      <c r="AR49" s="230"/>
      <c r="AS49" s="229"/>
      <c r="AT49" s="229"/>
      <c r="AU49" s="229"/>
      <c r="AV49" s="229"/>
      <c r="AW49" s="229"/>
      <c r="AX49" s="229"/>
      <c r="AY49" s="229"/>
      <c r="AZ49" s="229"/>
      <c r="BA49" s="229"/>
      <c r="BB49" s="229"/>
      <c r="BC49" s="229"/>
      <c r="BD49" s="229"/>
      <c r="BE49" s="229"/>
      <c r="BF49" s="229"/>
      <c r="BG49" s="229"/>
      <c r="BH49" s="229"/>
      <c r="BI49" s="229"/>
      <c r="BJ49" s="229"/>
      <c r="BK49" s="229"/>
      <c r="BL49" s="229"/>
      <c r="BM49" s="229"/>
      <c r="BN49" s="229"/>
      <c r="BO49" s="229"/>
      <c r="BP49" s="229"/>
      <c r="BQ49" s="229"/>
      <c r="BR49" s="229"/>
      <c r="BS49" s="229"/>
    </row>
    <row r="50" spans="3:71" ht="18" customHeight="1" thickBot="1">
      <c r="C50" s="50"/>
      <c r="D50" s="548" t="s">
        <v>240</v>
      </c>
      <c r="E50" s="482"/>
      <c r="F50" s="482"/>
      <c r="G50" s="482"/>
      <c r="H50" s="482"/>
      <c r="I50" s="482"/>
      <c r="J50" s="482"/>
      <c r="K50" s="482" t="s">
        <v>257</v>
      </c>
      <c r="L50" s="482"/>
      <c r="M50" s="482"/>
      <c r="N50" s="482"/>
      <c r="O50" s="482"/>
      <c r="P50" s="482"/>
      <c r="Q50" s="482"/>
      <c r="R50" s="482"/>
      <c r="S50" s="483"/>
      <c r="T50" s="591"/>
      <c r="U50" s="539"/>
      <c r="V50" s="539"/>
      <c r="W50" s="539"/>
      <c r="X50" s="539"/>
      <c r="Y50" s="539"/>
      <c r="Z50" s="540"/>
      <c r="AA50" s="453">
        <f>IF(T50=AM53,AR53,IF(T50=AM54,AR54,IF(T50=AM52,"")))</f>
      </c>
      <c r="AB50" s="454"/>
      <c r="AC50" s="454"/>
      <c r="AD50" s="454"/>
      <c r="AE50" s="454"/>
      <c r="AF50" s="454"/>
      <c r="AG50" s="440" t="s">
        <v>0</v>
      </c>
      <c r="AH50" s="451"/>
      <c r="AI50" s="452"/>
      <c r="AJ50" s="463"/>
      <c r="AK50" s="86"/>
      <c r="AM50" s="292" t="s">
        <v>26</v>
      </c>
      <c r="AN50" s="293"/>
      <c r="AO50" s="293"/>
      <c r="AP50" s="293"/>
      <c r="AQ50" s="293"/>
      <c r="AR50" s="293"/>
      <c r="AS50" s="293"/>
      <c r="AT50" s="294"/>
      <c r="AV50" s="292" t="s">
        <v>220</v>
      </c>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4"/>
    </row>
    <row r="51" spans="3:71" ht="18" customHeight="1" thickTop="1">
      <c r="C51" s="50"/>
      <c r="D51" s="460"/>
      <c r="E51" s="461"/>
      <c r="F51" s="461"/>
      <c r="G51" s="461"/>
      <c r="H51" s="461"/>
      <c r="I51" s="461"/>
      <c r="J51" s="461"/>
      <c r="K51" s="461" t="s">
        <v>258</v>
      </c>
      <c r="L51" s="461"/>
      <c r="M51" s="461"/>
      <c r="N51" s="461"/>
      <c r="O51" s="461"/>
      <c r="P51" s="461"/>
      <c r="Q51" s="461"/>
      <c r="R51" s="461"/>
      <c r="S51" s="462"/>
      <c r="T51" s="592"/>
      <c r="U51" s="593"/>
      <c r="V51" s="593"/>
      <c r="W51" s="593"/>
      <c r="X51" s="593"/>
      <c r="Y51" s="593"/>
      <c r="Z51" s="594"/>
      <c r="AA51" s="303"/>
      <c r="AB51" s="304"/>
      <c r="AC51" s="304"/>
      <c r="AD51" s="304"/>
      <c r="AE51" s="304"/>
      <c r="AF51" s="304"/>
      <c r="AG51" s="441"/>
      <c r="AH51" s="451"/>
      <c r="AI51" s="452"/>
      <c r="AJ51" s="463"/>
      <c r="AK51" s="86"/>
      <c r="AM51" s="323" t="s">
        <v>80</v>
      </c>
      <c r="AN51" s="324"/>
      <c r="AO51" s="324"/>
      <c r="AP51" s="324"/>
      <c r="AQ51" s="325"/>
      <c r="AR51" s="449" t="s">
        <v>225</v>
      </c>
      <c r="AS51" s="324"/>
      <c r="AT51" s="450"/>
      <c r="AV51" s="335" t="s">
        <v>91</v>
      </c>
      <c r="AW51" s="315"/>
      <c r="AX51" s="315"/>
      <c r="AY51" s="315"/>
      <c r="AZ51" s="315"/>
      <c r="BA51" s="315"/>
      <c r="BB51" s="311" t="s">
        <v>238</v>
      </c>
      <c r="BC51" s="315"/>
      <c r="BD51" s="315"/>
      <c r="BE51" s="315"/>
      <c r="BF51" s="315"/>
      <c r="BG51" s="315"/>
      <c r="BH51" s="311" t="s">
        <v>221</v>
      </c>
      <c r="BI51" s="315"/>
      <c r="BJ51" s="315"/>
      <c r="BK51" s="315"/>
      <c r="BL51" s="315"/>
      <c r="BM51" s="315"/>
      <c r="BN51" s="311" t="s">
        <v>222</v>
      </c>
      <c r="BO51" s="311"/>
      <c r="BP51" s="311"/>
      <c r="BQ51" s="311"/>
      <c r="BR51" s="311"/>
      <c r="BS51" s="312"/>
    </row>
    <row r="52" spans="3:71" ht="18" customHeight="1">
      <c r="C52" s="50"/>
      <c r="D52" s="509" t="s">
        <v>49</v>
      </c>
      <c r="E52" s="510"/>
      <c r="F52" s="510"/>
      <c r="G52" s="510"/>
      <c r="H52" s="510"/>
      <c r="I52" s="510"/>
      <c r="J52" s="510"/>
      <c r="K52" s="510" t="s">
        <v>25</v>
      </c>
      <c r="L52" s="510"/>
      <c r="M52" s="510"/>
      <c r="N52" s="510"/>
      <c r="O52" s="510"/>
      <c r="P52" s="510"/>
      <c r="Q52" s="510"/>
      <c r="R52" s="510"/>
      <c r="S52" s="560"/>
      <c r="T52" s="549"/>
      <c r="U52" s="550"/>
      <c r="V52" s="550"/>
      <c r="W52" s="550"/>
      <c r="X52" s="550"/>
      <c r="Y52" s="550"/>
      <c r="Z52" s="10" t="s">
        <v>0</v>
      </c>
      <c r="AA52" s="369">
        <f>IF(AA22&lt;=10000000,IF(T52="","",IF(T52&lt;=1230000,BB55)),IF(T52="",""))</f>
      </c>
      <c r="AB52" s="370"/>
      <c r="AC52" s="370"/>
      <c r="AD52" s="370"/>
      <c r="AE52" s="370"/>
      <c r="AF52" s="370"/>
      <c r="AG52" s="11" t="s">
        <v>14</v>
      </c>
      <c r="AH52" s="451"/>
      <c r="AI52" s="452"/>
      <c r="AJ52" s="83">
        <f>IF(AA22&lt;=10000000,IF(T52&gt;1230000,"㊟ 配偶者所得が123万円超の場合、配偶者特別控除の適用はありません",IF(AND(T50&lt;&gt;"",AA52&lt;&gt;0,T52&lt;&gt;""),"㊟ 配偶者控除と配偶者特別控除を両方適用することはできません","")),IF(T52&lt;&gt;"","㊟ 合計所得金額が1,000万円超の場合、配偶者特別控除の適用はありません",""))</f>
      </c>
      <c r="AK52" s="85"/>
      <c r="AL52" s="188" t="s">
        <v>176</v>
      </c>
      <c r="AM52" s="30"/>
      <c r="AN52" s="18"/>
      <c r="AO52" s="18"/>
      <c r="AP52" s="18"/>
      <c r="AQ52" s="18"/>
      <c r="AR52" s="183"/>
      <c r="AS52" s="184"/>
      <c r="AT52" s="185"/>
      <c r="AV52" s="336"/>
      <c r="AW52" s="316"/>
      <c r="AX52" s="316"/>
      <c r="AY52" s="316"/>
      <c r="AZ52" s="316"/>
      <c r="BA52" s="316"/>
      <c r="BB52" s="316"/>
      <c r="BC52" s="316"/>
      <c r="BD52" s="316"/>
      <c r="BE52" s="316"/>
      <c r="BF52" s="316"/>
      <c r="BG52" s="316"/>
      <c r="BH52" s="316"/>
      <c r="BI52" s="316"/>
      <c r="BJ52" s="316"/>
      <c r="BK52" s="316"/>
      <c r="BL52" s="316"/>
      <c r="BM52" s="316"/>
      <c r="BN52" s="313"/>
      <c r="BO52" s="313"/>
      <c r="BP52" s="313"/>
      <c r="BQ52" s="313"/>
      <c r="BR52" s="313"/>
      <c r="BS52" s="314"/>
    </row>
    <row r="53" spans="3:71" ht="18" customHeight="1">
      <c r="C53" s="50"/>
      <c r="D53" s="509" t="s">
        <v>50</v>
      </c>
      <c r="E53" s="510"/>
      <c r="F53" s="510"/>
      <c r="G53" s="510"/>
      <c r="H53" s="510"/>
      <c r="I53" s="510"/>
      <c r="J53" s="510"/>
      <c r="K53" s="349" t="s">
        <v>259</v>
      </c>
      <c r="L53" s="349"/>
      <c r="M53" s="349"/>
      <c r="N53" s="349"/>
      <c r="O53" s="349"/>
      <c r="P53" s="349"/>
      <c r="Q53" s="349"/>
      <c r="R53" s="349"/>
      <c r="S53" s="350"/>
      <c r="T53" s="563"/>
      <c r="U53" s="564"/>
      <c r="V53" s="564"/>
      <c r="W53" s="564"/>
      <c r="X53" s="564"/>
      <c r="Y53" s="564"/>
      <c r="Z53" s="10" t="s">
        <v>32</v>
      </c>
      <c r="AA53" s="604"/>
      <c r="AB53" s="605"/>
      <c r="AC53" s="605"/>
      <c r="AD53" s="605"/>
      <c r="AE53" s="605"/>
      <c r="AF53" s="605"/>
      <c r="AG53" s="606"/>
      <c r="AH53" s="246"/>
      <c r="AI53" s="247"/>
      <c r="AJ53" s="83"/>
      <c r="AK53" s="85"/>
      <c r="AM53" s="21" t="s">
        <v>33</v>
      </c>
      <c r="AN53" s="19"/>
      <c r="AO53" s="19"/>
      <c r="AP53" s="19"/>
      <c r="AQ53" s="51"/>
      <c r="AR53" s="613">
        <f>IF(AA22&lt;=9000000,330000,IF(AA22&lt;=9500000,220000,IF(AA22&lt;=10000000,110000,0)))</f>
        <v>330000</v>
      </c>
      <c r="AS53" s="614"/>
      <c r="AT53" s="615"/>
      <c r="AV53" s="481" t="s">
        <v>223</v>
      </c>
      <c r="AW53" s="482"/>
      <c r="AX53" s="482"/>
      <c r="AY53" s="482"/>
      <c r="AZ53" s="482"/>
      <c r="BA53" s="483"/>
      <c r="BB53" s="317">
        <f>IF(AA22&gt;9000000,0,IF(T52&lt;=380000,0,IF(T52&lt;=900000,330000,IF(T52&lt;=950000,310000,IF(T52&lt;=1000000,260000,IF(T52&lt;=1050000,210000,IF(T52&lt;=1100000,160000,0)))))))</f>
        <v>0</v>
      </c>
      <c r="BC53" s="318" t="e">
        <f>IF(#REF!&lt;=380000,0,IF(#REF!&lt;450000,330000,IF(#REF!&lt;500000,310000,IF(#REF!&lt;550000,260000,IF(#REF!&lt;600000,210000,IF(#REF!&lt;650000,160000,IF(#REF!&lt;700000,110000,0)))))))</f>
        <v>#REF!</v>
      </c>
      <c r="BD53" s="318" t="e">
        <f>IF(#REF!&lt;=380000,0,IF(#REF!&lt;450000,330000,IF(#REF!&lt;500000,310000,IF(#REF!&lt;550000,260000,IF(#REF!&lt;600000,210000,IF(#REF!&lt;650000,160000,IF(#REF!&lt;700000,110000,0)))))))</f>
        <v>#REF!</v>
      </c>
      <c r="BE53" s="318" t="e">
        <f>IF(#REF!&lt;=380000,0,IF(#REF!&lt;450000,330000,IF(#REF!&lt;500000,310000,IF(#REF!&lt;550000,260000,IF(#REF!&lt;600000,210000,IF(#REF!&lt;650000,160000,IF(#REF!&lt;700000,110000,0)))))))</f>
        <v>#REF!</v>
      </c>
      <c r="BF53" s="318" t="e">
        <f>IF(#REF!&lt;=380000,0,IF(#REF!&lt;450000,330000,IF(#REF!&lt;500000,310000,IF(#REF!&lt;550000,260000,IF(#REF!&lt;600000,210000,IF(#REF!&lt;650000,160000,IF(#REF!&lt;700000,110000,0)))))))</f>
        <v>#REF!</v>
      </c>
      <c r="BG53" s="319" t="e">
        <f>IF(#REF!&lt;=380000,0,IF(#REF!&lt;450000,330000,IF(#REF!&lt;500000,310000,IF(#REF!&lt;550000,260000,IF(#REF!&lt;600000,210000,IF(#REF!&lt;650000,160000,IF(#REF!&lt;700000,110000,0)))))))</f>
        <v>#REF!</v>
      </c>
      <c r="BH53" s="317">
        <f>IF(AA22&lt;=9000000,0,IF(AA22&gt;9500000,0,IF(T52&lt;=380000,0,IF(T52&lt;=900000,220000,IF(T52&lt;=950000,210000,IF(T52&lt;=1000000,180000,IF(T52&lt;=1050000,140000,IF(T52&lt;=1100000,110000,0))))))))</f>
        <v>0</v>
      </c>
      <c r="BI53" s="318" t="e">
        <f>IF(#REF!&lt;=380000,0,IF(#REF!&lt;450000,330000,IF(#REF!&lt;500000,310000,IF(#REF!&lt;550000,260000,IF(#REF!&lt;600000,210000,IF(#REF!&lt;650000,160000,IF(#REF!&lt;700000,110000,0)))))))</f>
        <v>#REF!</v>
      </c>
      <c r="BJ53" s="318" t="e">
        <f>IF(#REF!&lt;=380000,0,IF(#REF!&lt;450000,330000,IF(#REF!&lt;500000,310000,IF(#REF!&lt;550000,260000,IF(#REF!&lt;600000,210000,IF(#REF!&lt;650000,160000,IF(#REF!&lt;700000,110000,0)))))))</f>
        <v>#REF!</v>
      </c>
      <c r="BK53" s="318" t="e">
        <f>IF(#REF!&lt;=380000,0,IF(#REF!&lt;450000,330000,IF(#REF!&lt;500000,310000,IF(#REF!&lt;550000,260000,IF(#REF!&lt;600000,210000,IF(#REF!&lt;650000,160000,IF(#REF!&lt;700000,110000,0)))))))</f>
        <v>#REF!</v>
      </c>
      <c r="BL53" s="318" t="e">
        <f>IF(#REF!&lt;=380000,0,IF(#REF!&lt;450000,330000,IF(#REF!&lt;500000,310000,IF(#REF!&lt;550000,260000,IF(#REF!&lt;600000,210000,IF(#REF!&lt;650000,160000,IF(#REF!&lt;700000,110000,0)))))))</f>
        <v>#REF!</v>
      </c>
      <c r="BM53" s="319" t="e">
        <f>IF(#REF!&lt;=380000,0,IF(#REF!&lt;450000,330000,IF(#REF!&lt;500000,310000,IF(#REF!&lt;550000,260000,IF(#REF!&lt;600000,210000,IF(#REF!&lt;650000,160000,IF(#REF!&lt;700000,110000,0)))))))</f>
        <v>#REF!</v>
      </c>
      <c r="BN53" s="317">
        <f>IF(AA22&lt;=9500000,0,IF(AA22&gt;10000000,0,IF(T52&lt;=380000,0,IF(T52&lt;=900000,110000,IF(T52&lt;=950000,110000,IF(T52&lt;=1000000,90000,IF(T52&lt;=1050000,70000,IF(T52&lt;=1100000,60000,0))))))))</f>
        <v>0</v>
      </c>
      <c r="BO53" s="318" t="e">
        <f>IF(#REF!&lt;=380000,0,IF(#REF!&lt;450000,330000,IF(#REF!&lt;500000,310000,IF(#REF!&lt;550000,260000,IF(#REF!&lt;600000,210000,IF(#REF!&lt;650000,160000,IF(#REF!&lt;700000,110000,0)))))))</f>
        <v>#REF!</v>
      </c>
      <c r="BP53" s="318" t="e">
        <f>IF(#REF!&lt;=380000,0,IF(#REF!&lt;450000,330000,IF(#REF!&lt;500000,310000,IF(#REF!&lt;550000,260000,IF(#REF!&lt;600000,210000,IF(#REF!&lt;650000,160000,IF(#REF!&lt;700000,110000,0)))))))</f>
        <v>#REF!</v>
      </c>
      <c r="BQ53" s="318" t="e">
        <f>IF(#REF!&lt;=380000,0,IF(#REF!&lt;450000,330000,IF(#REF!&lt;500000,310000,IF(#REF!&lt;550000,260000,IF(#REF!&lt;600000,210000,IF(#REF!&lt;650000,160000,IF(#REF!&lt;700000,110000,0)))))))</f>
        <v>#REF!</v>
      </c>
      <c r="BR53" s="318" t="e">
        <f>IF(#REF!&lt;=380000,0,IF(#REF!&lt;450000,330000,IF(#REF!&lt;500000,310000,IF(#REF!&lt;550000,260000,IF(#REF!&lt;600000,210000,IF(#REF!&lt;650000,160000,IF(#REF!&lt;700000,110000,0)))))))</f>
        <v>#REF!</v>
      </c>
      <c r="BS53" s="319" t="e">
        <f>IF(#REF!&lt;=380000,0,IF(#REF!&lt;450000,330000,IF(#REF!&lt;500000,310000,IF(#REF!&lt;550000,260000,IF(#REF!&lt;600000,210000,IF(#REF!&lt;650000,160000,IF(#REF!&lt;700000,110000,0)))))))</f>
        <v>#REF!</v>
      </c>
    </row>
    <row r="54" spans="3:71" ht="18" customHeight="1" thickBot="1">
      <c r="C54" s="50"/>
      <c r="D54" s="548" t="s">
        <v>51</v>
      </c>
      <c r="E54" s="489"/>
      <c r="F54" s="489"/>
      <c r="G54" s="489"/>
      <c r="H54" s="489"/>
      <c r="I54" s="489"/>
      <c r="J54" s="489"/>
      <c r="K54" s="590" t="s">
        <v>260</v>
      </c>
      <c r="L54" s="489"/>
      <c r="M54" s="489"/>
      <c r="N54" s="489"/>
      <c r="O54" s="489"/>
      <c r="P54" s="489"/>
      <c r="Q54" s="489"/>
      <c r="R54" s="489"/>
      <c r="S54" s="490"/>
      <c r="T54" s="538"/>
      <c r="U54" s="539"/>
      <c r="V54" s="539"/>
      <c r="W54" s="539"/>
      <c r="X54" s="539"/>
      <c r="Y54" s="539"/>
      <c r="Z54" s="561" t="s">
        <v>32</v>
      </c>
      <c r="AA54" s="628">
        <f>IF(T54="","",T54*330000)</f>
      </c>
      <c r="AB54" s="629"/>
      <c r="AC54" s="629"/>
      <c r="AD54" s="629"/>
      <c r="AE54" s="629"/>
      <c r="AF54" s="629"/>
      <c r="AG54" s="455" t="s">
        <v>14</v>
      </c>
      <c r="AH54" s="248"/>
      <c r="AI54" s="36"/>
      <c r="AJ54" s="189"/>
      <c r="AK54" s="86"/>
      <c r="AM54" s="24" t="s">
        <v>34</v>
      </c>
      <c r="AN54" s="22"/>
      <c r="AO54" s="22"/>
      <c r="AP54" s="22"/>
      <c r="AQ54" s="22"/>
      <c r="AR54" s="595">
        <f>IF(AA22&lt;=9000000,380000,IF(AA22&lt;=9500000,260000,IF(AA22&lt;=10000000,130000,0)))</f>
        <v>380000</v>
      </c>
      <c r="AS54" s="596"/>
      <c r="AT54" s="597"/>
      <c r="AV54" s="332" t="s">
        <v>224</v>
      </c>
      <c r="AW54" s="333"/>
      <c r="AX54" s="333"/>
      <c r="AY54" s="333"/>
      <c r="AZ54" s="333"/>
      <c r="BA54" s="334"/>
      <c r="BB54" s="320">
        <f>IF(AA22&gt;9000000,0,IF(T52&lt;=1100000,0,IF(T52&lt;=1150000,110000,IF(T52&lt;=1200000,60000,IF(T52&lt;=1230000,30000,0)))))</f>
        <v>0</v>
      </c>
      <c r="BC54" s="321" t="e">
        <f>IF(#REF!&lt;700000,0,IF(#REF!&lt;750000,60000,IF(#REF!&lt;760000,30000,0)))</f>
        <v>#REF!</v>
      </c>
      <c r="BD54" s="321" t="e">
        <f>IF(#REF!&lt;700000,0,IF(#REF!&lt;750000,60000,IF(#REF!&lt;760000,30000,0)))</f>
        <v>#REF!</v>
      </c>
      <c r="BE54" s="321" t="e">
        <f>IF(#REF!&lt;700000,0,IF(#REF!&lt;750000,60000,IF(#REF!&lt;760000,30000,0)))</f>
        <v>#REF!</v>
      </c>
      <c r="BF54" s="321" t="e">
        <f>IF(#REF!&lt;700000,0,IF(#REF!&lt;750000,60000,IF(#REF!&lt;760000,30000,0)))</f>
        <v>#REF!</v>
      </c>
      <c r="BG54" s="322" t="e">
        <f>IF(#REF!&lt;700000,0,IF(#REF!&lt;750000,60000,IF(#REF!&lt;760000,30000,0)))</f>
        <v>#REF!</v>
      </c>
      <c r="BH54" s="320">
        <f>IF(AA22&lt;=9000000,0,IF(AA22&gt;9500000,0,IF(T52&lt;=1100000,0,IF(T52&lt;=1150000,80000,IF(T52&lt;=1200000,40000,IF(T52&lt;=1230000,20000,0))))))</f>
        <v>0</v>
      </c>
      <c r="BI54" s="321" t="e">
        <f>IF(#REF!&lt;700000,0,IF(#REF!&lt;750000,60000,IF(#REF!&lt;760000,30000,0)))</f>
        <v>#REF!</v>
      </c>
      <c r="BJ54" s="321" t="e">
        <f>IF(#REF!&lt;700000,0,IF(#REF!&lt;750000,60000,IF(#REF!&lt;760000,30000,0)))</f>
        <v>#REF!</v>
      </c>
      <c r="BK54" s="321" t="e">
        <f>IF(#REF!&lt;700000,0,IF(#REF!&lt;750000,60000,IF(#REF!&lt;760000,30000,0)))</f>
        <v>#REF!</v>
      </c>
      <c r="BL54" s="321" t="e">
        <f>IF(#REF!&lt;700000,0,IF(#REF!&lt;750000,60000,IF(#REF!&lt;760000,30000,0)))</f>
        <v>#REF!</v>
      </c>
      <c r="BM54" s="322" t="e">
        <f>IF(#REF!&lt;700000,0,IF(#REF!&lt;750000,60000,IF(#REF!&lt;760000,30000,0)))</f>
        <v>#REF!</v>
      </c>
      <c r="BN54" s="320">
        <f>IF(AA22&lt;=9500000,0,IF(AA22&gt;10000000,0,IF(T52&lt;=1100000,0,IF(T52&lt;=1150000,40000,IF(T52&lt;=1200000,20000,IF(T52&lt;=1230000,10000,0))))))</f>
        <v>0</v>
      </c>
      <c r="BO54" s="321" t="e">
        <f>IF(#REF!&lt;700000,0,IF(#REF!&lt;750000,60000,IF(#REF!&lt;760000,30000,0)))</f>
        <v>#REF!</v>
      </c>
      <c r="BP54" s="321" t="e">
        <f>IF(#REF!&lt;700000,0,IF(#REF!&lt;750000,60000,IF(#REF!&lt;760000,30000,0)))</f>
        <v>#REF!</v>
      </c>
      <c r="BQ54" s="321" t="e">
        <f>IF(#REF!&lt;700000,0,IF(#REF!&lt;750000,60000,IF(#REF!&lt;760000,30000,0)))</f>
        <v>#REF!</v>
      </c>
      <c r="BR54" s="321" t="e">
        <f>IF(#REF!&lt;700000,0,IF(#REF!&lt;750000,60000,IF(#REF!&lt;760000,30000,0)))</f>
        <v>#REF!</v>
      </c>
      <c r="BS54" s="322" t="e">
        <f>IF(#REF!&lt;700000,0,IF(#REF!&lt;750000,60000,IF(#REF!&lt;760000,30000,0)))</f>
        <v>#REF!</v>
      </c>
    </row>
    <row r="55" spans="3:71" ht="18" customHeight="1" thickBot="1">
      <c r="C55" s="50"/>
      <c r="D55" s="460"/>
      <c r="E55" s="461"/>
      <c r="F55" s="461"/>
      <c r="G55" s="461"/>
      <c r="H55" s="461"/>
      <c r="I55" s="461"/>
      <c r="J55" s="461"/>
      <c r="K55" s="461"/>
      <c r="L55" s="461"/>
      <c r="M55" s="461"/>
      <c r="N55" s="461"/>
      <c r="O55" s="461"/>
      <c r="P55" s="461"/>
      <c r="Q55" s="461"/>
      <c r="R55" s="461"/>
      <c r="S55" s="462"/>
      <c r="T55" s="592"/>
      <c r="U55" s="593"/>
      <c r="V55" s="593"/>
      <c r="W55" s="593"/>
      <c r="X55" s="593"/>
      <c r="Y55" s="593"/>
      <c r="Z55" s="562"/>
      <c r="AA55" s="543"/>
      <c r="AB55" s="544"/>
      <c r="AC55" s="544"/>
      <c r="AD55" s="544"/>
      <c r="AE55" s="544"/>
      <c r="AF55" s="544"/>
      <c r="AG55" s="441"/>
      <c r="AH55" s="248"/>
      <c r="AI55" s="36"/>
      <c r="AJ55" s="189"/>
      <c r="AK55" s="86"/>
      <c r="AV55" s="465" t="s">
        <v>63</v>
      </c>
      <c r="AW55" s="466"/>
      <c r="AX55" s="466"/>
      <c r="AY55" s="466"/>
      <c r="AZ55" s="466"/>
      <c r="BA55" s="466"/>
      <c r="BB55" s="329">
        <f>IF(AA22&gt;10000000,0,BB53+BB54+BH53+BH54+BN53+BN54)</f>
        <v>0</v>
      </c>
      <c r="BC55" s="330"/>
      <c r="BD55" s="330"/>
      <c r="BE55" s="330"/>
      <c r="BF55" s="330"/>
      <c r="BG55" s="330"/>
      <c r="BH55" s="330"/>
      <c r="BI55" s="330"/>
      <c r="BJ55" s="330"/>
      <c r="BK55" s="330"/>
      <c r="BL55" s="330"/>
      <c r="BM55" s="330"/>
      <c r="BN55" s="330"/>
      <c r="BO55" s="330"/>
      <c r="BP55" s="330"/>
      <c r="BQ55" s="330"/>
      <c r="BR55" s="330"/>
      <c r="BS55" s="331"/>
    </row>
    <row r="56" spans="3:37" ht="18" customHeight="1">
      <c r="C56" s="50"/>
      <c r="D56" s="509" t="s">
        <v>52</v>
      </c>
      <c r="E56" s="510"/>
      <c r="F56" s="510"/>
      <c r="G56" s="510"/>
      <c r="H56" s="510"/>
      <c r="I56" s="510"/>
      <c r="J56" s="510"/>
      <c r="K56" s="510" t="s">
        <v>261</v>
      </c>
      <c r="L56" s="510"/>
      <c r="M56" s="510"/>
      <c r="N56" s="510"/>
      <c r="O56" s="510"/>
      <c r="P56" s="510"/>
      <c r="Q56" s="510"/>
      <c r="R56" s="510"/>
      <c r="S56" s="560"/>
      <c r="T56" s="563"/>
      <c r="U56" s="564"/>
      <c r="V56" s="564"/>
      <c r="W56" s="564"/>
      <c r="X56" s="564"/>
      <c r="Y56" s="564"/>
      <c r="Z56" s="10" t="s">
        <v>32</v>
      </c>
      <c r="AA56" s="369">
        <f>IF(T56="","",T56*450000)</f>
      </c>
      <c r="AB56" s="370"/>
      <c r="AC56" s="370"/>
      <c r="AD56" s="370"/>
      <c r="AE56" s="370"/>
      <c r="AF56" s="370"/>
      <c r="AG56" s="11" t="s">
        <v>14</v>
      </c>
      <c r="AH56" s="248"/>
      <c r="AI56" s="36"/>
      <c r="AJ56" s="83"/>
      <c r="AK56" s="85"/>
    </row>
    <row r="57" spans="3:37" ht="18" customHeight="1">
      <c r="C57" s="50"/>
      <c r="D57" s="506" t="s">
        <v>53</v>
      </c>
      <c r="E57" s="349"/>
      <c r="F57" s="349"/>
      <c r="G57" s="349"/>
      <c r="H57" s="349"/>
      <c r="I57" s="349"/>
      <c r="J57" s="349"/>
      <c r="K57" s="349" t="s">
        <v>262</v>
      </c>
      <c r="L57" s="349"/>
      <c r="M57" s="349"/>
      <c r="N57" s="349"/>
      <c r="O57" s="349"/>
      <c r="P57" s="349"/>
      <c r="Q57" s="349"/>
      <c r="R57" s="349"/>
      <c r="S57" s="350"/>
      <c r="T57" s="538"/>
      <c r="U57" s="539"/>
      <c r="V57" s="539"/>
      <c r="W57" s="539"/>
      <c r="X57" s="539"/>
      <c r="Y57" s="539"/>
      <c r="Z57" s="26" t="s">
        <v>32</v>
      </c>
      <c r="AA57" s="630">
        <f>IF(T57="","",T57*380000)</f>
      </c>
      <c r="AB57" s="631"/>
      <c r="AC57" s="631"/>
      <c r="AD57" s="631"/>
      <c r="AE57" s="631"/>
      <c r="AF57" s="631"/>
      <c r="AG57" s="108" t="s">
        <v>14</v>
      </c>
      <c r="AH57" s="248"/>
      <c r="AI57" s="36"/>
      <c r="AJ57" s="83"/>
      <c r="AK57" s="85"/>
    </row>
    <row r="58" spans="3:38" ht="18" customHeight="1" thickBot="1">
      <c r="C58" s="52"/>
      <c r="D58" s="568" t="s">
        <v>170</v>
      </c>
      <c r="E58" s="352"/>
      <c r="F58" s="352"/>
      <c r="G58" s="352"/>
      <c r="H58" s="352"/>
      <c r="I58" s="352"/>
      <c r="J58" s="352"/>
      <c r="K58" s="352"/>
      <c r="L58" s="352"/>
      <c r="M58" s="352"/>
      <c r="N58" s="352"/>
      <c r="O58" s="352"/>
      <c r="P58" s="352"/>
      <c r="Q58" s="352"/>
      <c r="R58" s="352"/>
      <c r="S58" s="353"/>
      <c r="T58" s="27" t="s">
        <v>31</v>
      </c>
      <c r="U58" s="565"/>
      <c r="V58" s="565"/>
      <c r="W58" s="565"/>
      <c r="X58" s="565"/>
      <c r="Y58" s="565"/>
      <c r="Z58" s="28" t="s">
        <v>32</v>
      </c>
      <c r="AA58" s="566">
        <f>IF(U58="","",U58*70000)</f>
      </c>
      <c r="AB58" s="567"/>
      <c r="AC58" s="567"/>
      <c r="AD58" s="567"/>
      <c r="AE58" s="567"/>
      <c r="AF58" s="567"/>
      <c r="AG58" s="29" t="s">
        <v>14</v>
      </c>
      <c r="AH58" s="248"/>
      <c r="AI58" s="36"/>
      <c r="AJ58" s="83">
        <f>IF(T57&lt;U58,"㊟ 同居している人数が老人扶養親族の人数を超えています","")</f>
      </c>
      <c r="AK58" s="85"/>
      <c r="AL58" s="92"/>
    </row>
    <row r="59" spans="3:51" ht="18" customHeight="1" thickBot="1">
      <c r="C59" s="512" t="s">
        <v>212</v>
      </c>
      <c r="D59" s="513"/>
      <c r="E59" s="516" t="s">
        <v>35</v>
      </c>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56"/>
      <c r="AH59" s="249"/>
      <c r="AI59" s="36"/>
      <c r="AJ59" s="572">
        <f>IF(AM60&lt;AM62,"㊟ 障害者の人数が扶養親族等の人数をこえています","")</f>
      </c>
      <c r="AK59" s="87"/>
      <c r="AL59" s="598" t="s">
        <v>176</v>
      </c>
      <c r="AM59" s="292" t="s">
        <v>171</v>
      </c>
      <c r="AN59" s="293"/>
      <c r="AO59" s="293"/>
      <c r="AP59" s="293"/>
      <c r="AQ59" s="294"/>
      <c r="AS59" s="401" t="s">
        <v>239</v>
      </c>
      <c r="AT59" s="402"/>
      <c r="AU59" s="403"/>
      <c r="AW59" s="401" t="s">
        <v>226</v>
      </c>
      <c r="AX59" s="402"/>
      <c r="AY59" s="403"/>
    </row>
    <row r="60" spans="3:51" ht="18" customHeight="1" thickBot="1" thickTop="1">
      <c r="C60" s="514"/>
      <c r="D60" s="515"/>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57"/>
      <c r="AH60" s="249"/>
      <c r="AI60" s="36"/>
      <c r="AJ60" s="572"/>
      <c r="AK60" s="87"/>
      <c r="AL60" s="598"/>
      <c r="AM60" s="607">
        <f>AS60+T53+T54+T56+T57</f>
        <v>0</v>
      </c>
      <c r="AN60" s="608"/>
      <c r="AO60" s="608"/>
      <c r="AP60" s="608"/>
      <c r="AQ60" s="609"/>
      <c r="AS60" s="610">
        <f>IF(T50="",0,1)</f>
        <v>0</v>
      </c>
      <c r="AT60" s="611"/>
      <c r="AU60" s="612"/>
      <c r="AW60" s="610">
        <f>IF(T52="",0,IF(AA22&lt;=9000000,IF(T52&lt;=850000,1,0),0))</f>
        <v>0</v>
      </c>
      <c r="AX60" s="611"/>
      <c r="AY60" s="612"/>
    </row>
    <row r="61" spans="3:43" ht="18" customHeight="1" thickBot="1">
      <c r="C61" s="50"/>
      <c r="D61" s="316" t="s">
        <v>54</v>
      </c>
      <c r="E61" s="316"/>
      <c r="F61" s="316"/>
      <c r="G61" s="316"/>
      <c r="H61" s="316"/>
      <c r="I61" s="316"/>
      <c r="J61" s="316"/>
      <c r="K61" s="316"/>
      <c r="L61" s="316"/>
      <c r="M61" s="316"/>
      <c r="N61" s="316"/>
      <c r="O61" s="316"/>
      <c r="P61" s="316"/>
      <c r="Q61" s="316"/>
      <c r="R61" s="316"/>
      <c r="S61" s="316"/>
      <c r="T61" s="563"/>
      <c r="U61" s="564"/>
      <c r="V61" s="564"/>
      <c r="W61" s="564"/>
      <c r="X61" s="564"/>
      <c r="Y61" s="564"/>
      <c r="Z61" s="10" t="s">
        <v>32</v>
      </c>
      <c r="AA61" s="369">
        <f>IF(T61="","",T61*260000)</f>
      </c>
      <c r="AB61" s="370"/>
      <c r="AC61" s="370"/>
      <c r="AD61" s="370"/>
      <c r="AE61" s="370"/>
      <c r="AF61" s="370"/>
      <c r="AG61" s="11" t="s">
        <v>14</v>
      </c>
      <c r="AH61" s="248"/>
      <c r="AI61" s="36"/>
      <c r="AJ61" s="83"/>
      <c r="AK61" s="85"/>
      <c r="AM61" s="292" t="s">
        <v>172</v>
      </c>
      <c r="AN61" s="293"/>
      <c r="AO61" s="293"/>
      <c r="AP61" s="293"/>
      <c r="AQ61" s="294"/>
    </row>
    <row r="62" spans="3:43" ht="18" customHeight="1" thickBot="1" thickTop="1">
      <c r="C62" s="50"/>
      <c r="D62" s="316" t="s">
        <v>129</v>
      </c>
      <c r="E62" s="316"/>
      <c r="F62" s="316"/>
      <c r="G62" s="316"/>
      <c r="H62" s="316"/>
      <c r="I62" s="316"/>
      <c r="J62" s="316"/>
      <c r="K62" s="316"/>
      <c r="L62" s="316"/>
      <c r="M62" s="316"/>
      <c r="N62" s="316"/>
      <c r="O62" s="316"/>
      <c r="P62" s="316"/>
      <c r="Q62" s="316"/>
      <c r="R62" s="316"/>
      <c r="S62" s="316"/>
      <c r="T62" s="563"/>
      <c r="U62" s="564"/>
      <c r="V62" s="564"/>
      <c r="W62" s="564"/>
      <c r="X62" s="564"/>
      <c r="Y62" s="564"/>
      <c r="Z62" s="10" t="s">
        <v>32</v>
      </c>
      <c r="AA62" s="369">
        <f>IF(T62="","",T62*300000)</f>
      </c>
      <c r="AB62" s="370"/>
      <c r="AC62" s="370"/>
      <c r="AD62" s="370"/>
      <c r="AE62" s="370"/>
      <c r="AF62" s="370"/>
      <c r="AG62" s="11" t="s">
        <v>14</v>
      </c>
      <c r="AH62" s="248"/>
      <c r="AI62" s="36"/>
      <c r="AJ62" s="83"/>
      <c r="AK62" s="85"/>
      <c r="AM62" s="607">
        <f>T61+T62</f>
        <v>0</v>
      </c>
      <c r="AN62" s="608"/>
      <c r="AO62" s="608"/>
      <c r="AP62" s="608"/>
      <c r="AQ62" s="609"/>
    </row>
    <row r="63" spans="3:55" ht="18" customHeight="1" thickBot="1">
      <c r="C63" s="50"/>
      <c r="D63" s="125"/>
      <c r="E63" s="125"/>
      <c r="F63" s="125"/>
      <c r="G63" s="125"/>
      <c r="H63" s="509" t="s">
        <v>227</v>
      </c>
      <c r="I63" s="510"/>
      <c r="J63" s="510"/>
      <c r="K63" s="510"/>
      <c r="L63" s="510"/>
      <c r="M63" s="510"/>
      <c r="N63" s="510"/>
      <c r="O63" s="510"/>
      <c r="P63" s="510"/>
      <c r="Q63" s="510"/>
      <c r="R63" s="510"/>
      <c r="S63" s="560"/>
      <c r="T63" s="191" t="s">
        <v>31</v>
      </c>
      <c r="U63" s="564"/>
      <c r="V63" s="564"/>
      <c r="W63" s="564"/>
      <c r="X63" s="564"/>
      <c r="Y63" s="564"/>
      <c r="Z63" s="10" t="s">
        <v>32</v>
      </c>
      <c r="AA63" s="369">
        <f>IF(U63="","",U63*230000)</f>
      </c>
      <c r="AB63" s="370"/>
      <c r="AC63" s="370"/>
      <c r="AD63" s="370"/>
      <c r="AE63" s="370"/>
      <c r="AF63" s="370"/>
      <c r="AG63" s="11" t="s">
        <v>14</v>
      </c>
      <c r="AH63" s="248"/>
      <c r="AI63" s="36"/>
      <c r="AJ63" s="83">
        <f>IF(T62&lt;U63,"㊟ 同居している人数が特別障害者の人数を超えています","")</f>
      </c>
      <c r="AK63" s="85"/>
      <c r="AL63" s="90" t="s">
        <v>176</v>
      </c>
      <c r="AY63" s="61"/>
      <c r="BC63" s="51"/>
    </row>
    <row r="64" spans="3:55" ht="18" customHeight="1" thickBot="1">
      <c r="C64" s="465" t="s">
        <v>66</v>
      </c>
      <c r="D64" s="466"/>
      <c r="E64" s="466"/>
      <c r="F64" s="466"/>
      <c r="G64" s="466"/>
      <c r="H64" s="466"/>
      <c r="I64" s="466"/>
      <c r="J64" s="466"/>
      <c r="K64" s="466"/>
      <c r="L64" s="466"/>
      <c r="M64" s="466"/>
      <c r="N64" s="466"/>
      <c r="O64" s="466"/>
      <c r="P64" s="466"/>
      <c r="Q64" s="466"/>
      <c r="R64" s="466"/>
      <c r="S64" s="466"/>
      <c r="T64" s="466"/>
      <c r="U64" s="466"/>
      <c r="V64" s="466"/>
      <c r="W64" s="466"/>
      <c r="X64" s="466"/>
      <c r="Y64" s="466"/>
      <c r="Z64" s="569"/>
      <c r="AA64" s="602">
        <v>330000</v>
      </c>
      <c r="AB64" s="603"/>
      <c r="AC64" s="603"/>
      <c r="AD64" s="603"/>
      <c r="AE64" s="603"/>
      <c r="AF64" s="603"/>
      <c r="AG64" s="32" t="s">
        <v>0</v>
      </c>
      <c r="AH64" s="248"/>
      <c r="AI64" s="36"/>
      <c r="AJ64" s="463"/>
      <c r="AK64" s="86"/>
      <c r="AM64" s="206" t="s">
        <v>116</v>
      </c>
      <c r="AN64" s="140"/>
      <c r="AO64" s="140"/>
      <c r="AP64" s="140"/>
      <c r="AQ64" s="140"/>
      <c r="AR64" s="140"/>
      <c r="AS64" s="140"/>
      <c r="AT64" s="140"/>
      <c r="AU64" s="140"/>
      <c r="AV64" s="141"/>
      <c r="AY64" s="292" t="s">
        <v>151</v>
      </c>
      <c r="AZ64" s="293"/>
      <c r="BA64" s="293"/>
      <c r="BB64" s="294"/>
      <c r="BC64" s="57"/>
    </row>
    <row r="65" spans="20:55" ht="18" customHeight="1" thickTop="1">
      <c r="T65" s="481" t="s">
        <v>84</v>
      </c>
      <c r="U65" s="482"/>
      <c r="V65" s="482"/>
      <c r="W65" s="482"/>
      <c r="X65" s="482"/>
      <c r="Y65" s="482"/>
      <c r="Z65" s="483"/>
      <c r="AA65" s="570">
        <f>SUM(AA29:AF41,AA44:AF46,AA50:AF52,AA54:AF58,AA61:AF64)</f>
        <v>330000</v>
      </c>
      <c r="AB65" s="571"/>
      <c r="AC65" s="571"/>
      <c r="AD65" s="571"/>
      <c r="AE65" s="571"/>
      <c r="AF65" s="571"/>
      <c r="AG65" s="575" t="s">
        <v>0</v>
      </c>
      <c r="AH65" s="248"/>
      <c r="AI65" s="36"/>
      <c r="AJ65" s="463"/>
      <c r="AK65" s="86"/>
      <c r="AM65" s="476" t="s">
        <v>126</v>
      </c>
      <c r="AN65" s="461"/>
      <c r="AO65" s="461"/>
      <c r="AP65" s="461"/>
      <c r="AQ65" s="461"/>
      <c r="AR65" s="461"/>
      <c r="AS65" s="190" t="s">
        <v>115</v>
      </c>
      <c r="AT65" s="186"/>
      <c r="AU65" s="186"/>
      <c r="AV65" s="187"/>
      <c r="AY65" s="54"/>
      <c r="AZ65" s="55"/>
      <c r="BA65" s="55"/>
      <c r="BB65" s="56"/>
      <c r="BC65" s="50"/>
    </row>
    <row r="66" spans="20:55" ht="18" customHeight="1" thickBot="1">
      <c r="T66" s="478"/>
      <c r="U66" s="479"/>
      <c r="V66" s="479"/>
      <c r="W66" s="479"/>
      <c r="X66" s="479"/>
      <c r="Y66" s="479"/>
      <c r="Z66" s="480"/>
      <c r="AA66" s="445"/>
      <c r="AB66" s="446"/>
      <c r="AC66" s="446"/>
      <c r="AD66" s="446"/>
      <c r="AE66" s="446"/>
      <c r="AF66" s="446"/>
      <c r="AG66" s="576"/>
      <c r="AH66" s="248"/>
      <c r="AI66" s="36"/>
      <c r="AJ66" s="83"/>
      <c r="AK66" s="85"/>
      <c r="AM66" s="675" t="s">
        <v>105</v>
      </c>
      <c r="AN66" s="676"/>
      <c r="AO66" s="676"/>
      <c r="AP66" s="676"/>
      <c r="AQ66" s="676"/>
      <c r="AR66" s="676"/>
      <c r="AS66" s="339">
        <f>IF(T44=AM46,10000,IF(T44=AM47,50000,IF(T44=AM48,10000,0)))</f>
        <v>0</v>
      </c>
      <c r="AT66" s="340"/>
      <c r="AU66" s="340"/>
      <c r="AV66" s="341"/>
      <c r="AY66" s="50">
        <v>5</v>
      </c>
      <c r="AZ66" s="51"/>
      <c r="BA66" s="51"/>
      <c r="BB66" s="6"/>
      <c r="BC66" s="50"/>
    </row>
    <row r="67" spans="2:55" ht="18" customHeight="1">
      <c r="B67" s="93"/>
      <c r="T67" s="31"/>
      <c r="U67" s="31"/>
      <c r="V67" s="31"/>
      <c r="W67" s="31"/>
      <c r="X67" s="31"/>
      <c r="Y67" s="31"/>
      <c r="Z67" s="31"/>
      <c r="AA67" s="35"/>
      <c r="AB67" s="35"/>
      <c r="AC67" s="35"/>
      <c r="AD67" s="35"/>
      <c r="AE67" s="35"/>
      <c r="AF67" s="35"/>
      <c r="AG67" s="34"/>
      <c r="AH67" s="248"/>
      <c r="AI67" s="36"/>
      <c r="AJ67" s="83"/>
      <c r="AK67" s="85"/>
      <c r="AM67" s="573" t="s">
        <v>117</v>
      </c>
      <c r="AN67" s="574"/>
      <c r="AO67" s="574"/>
      <c r="AP67" s="574"/>
      <c r="AQ67" s="574"/>
      <c r="AR67" s="574"/>
      <c r="AS67" s="308">
        <f>IF(T45=AQ46,10000,0)</f>
        <v>0</v>
      </c>
      <c r="AT67" s="309"/>
      <c r="AU67" s="309"/>
      <c r="AV67" s="310"/>
      <c r="AY67" s="50">
        <v>10</v>
      </c>
      <c r="AZ67" s="51"/>
      <c r="BA67" s="51"/>
      <c r="BB67" s="6"/>
      <c r="BC67" s="50"/>
    </row>
    <row r="68" spans="2:55" ht="18" customHeight="1" thickBot="1">
      <c r="B68" s="93">
        <v>3</v>
      </c>
      <c r="C68" s="94" t="s">
        <v>78</v>
      </c>
      <c r="J68" s="105"/>
      <c r="P68" s="100"/>
      <c r="T68" s="31"/>
      <c r="U68" s="31"/>
      <c r="V68" s="31"/>
      <c r="W68" s="31"/>
      <c r="X68" s="31"/>
      <c r="Y68" s="31"/>
      <c r="Z68" s="31"/>
      <c r="AA68" s="35"/>
      <c r="AB68" s="35"/>
      <c r="AC68" s="35"/>
      <c r="AD68" s="35"/>
      <c r="AE68" s="35"/>
      <c r="AF68" s="35"/>
      <c r="AG68" s="34"/>
      <c r="AH68" s="63"/>
      <c r="AI68" s="36"/>
      <c r="AJ68" s="83"/>
      <c r="AK68" s="85"/>
      <c r="AM68" s="573" t="s">
        <v>106</v>
      </c>
      <c r="AN68" s="574"/>
      <c r="AO68" s="574"/>
      <c r="AP68" s="574"/>
      <c r="AQ68" s="574"/>
      <c r="AR68" s="574"/>
      <c r="AS68" s="308">
        <f>IF(T46=AU46,10000,IF(T46=AU47,100000,IF(T46="",0)))</f>
        <v>0</v>
      </c>
      <c r="AT68" s="309"/>
      <c r="AU68" s="309"/>
      <c r="AV68" s="310"/>
      <c r="AY68" s="50">
        <v>20</v>
      </c>
      <c r="AZ68" s="51"/>
      <c r="BA68" s="51"/>
      <c r="BB68" s="6"/>
      <c r="BC68" s="50"/>
    </row>
    <row r="69" spans="3:55" ht="18" customHeight="1">
      <c r="C69" s="365" t="s">
        <v>79</v>
      </c>
      <c r="D69" s="355"/>
      <c r="E69" s="355"/>
      <c r="F69" s="355"/>
      <c r="G69" s="355"/>
      <c r="H69" s="355"/>
      <c r="I69" s="355"/>
      <c r="J69" s="355"/>
      <c r="K69" s="355"/>
      <c r="L69" s="355"/>
      <c r="M69" s="355"/>
      <c r="N69" s="355"/>
      <c r="O69" s="355"/>
      <c r="P69" s="355"/>
      <c r="Q69" s="355"/>
      <c r="R69" s="355"/>
      <c r="S69" s="355"/>
      <c r="T69" s="355"/>
      <c r="U69" s="355"/>
      <c r="V69" s="355"/>
      <c r="W69" s="366"/>
      <c r="X69" s="355"/>
      <c r="Y69" s="355"/>
      <c r="Z69" s="355"/>
      <c r="AA69" s="355"/>
      <c r="AB69" s="355"/>
      <c r="AC69" s="355"/>
      <c r="AD69" s="355"/>
      <c r="AE69" s="355"/>
      <c r="AF69" s="355"/>
      <c r="AG69" s="426"/>
      <c r="AH69" s="63"/>
      <c r="AI69" s="36"/>
      <c r="AJ69" s="83"/>
      <c r="AK69" s="85"/>
      <c r="AM69" s="573" t="s">
        <v>118</v>
      </c>
      <c r="AN69" s="574"/>
      <c r="AO69" s="574"/>
      <c r="AP69" s="574"/>
      <c r="AQ69" s="574"/>
      <c r="AR69" s="574"/>
      <c r="AS69" s="308">
        <f>IF(T50=AM53,IF(AA22&lt;=9000000,50000,IF(AA22&lt;=9500000,40000,IF(AA22&lt;=10000000,20000,0))),IF(T50=AM54,IF(AA22&lt;=9000000,100000,IF(AA22&lt;=9500000,60000,IF(AA22&lt;=10000000,30000,0))),0))</f>
        <v>0</v>
      </c>
      <c r="AT69" s="309"/>
      <c r="AU69" s="309"/>
      <c r="AV69" s="310"/>
      <c r="AY69" s="50">
        <v>23</v>
      </c>
      <c r="AZ69" s="51"/>
      <c r="BA69" s="51"/>
      <c r="BB69" s="6"/>
      <c r="BC69" s="50"/>
    </row>
    <row r="70" spans="3:55" ht="18" customHeight="1" thickBot="1">
      <c r="C70" s="367"/>
      <c r="D70" s="357"/>
      <c r="E70" s="357"/>
      <c r="F70" s="357"/>
      <c r="G70" s="357"/>
      <c r="H70" s="357"/>
      <c r="I70" s="357"/>
      <c r="J70" s="357"/>
      <c r="K70" s="357"/>
      <c r="L70" s="357"/>
      <c r="M70" s="357"/>
      <c r="N70" s="357"/>
      <c r="O70" s="357"/>
      <c r="P70" s="357"/>
      <c r="Q70" s="357"/>
      <c r="R70" s="357"/>
      <c r="S70" s="357"/>
      <c r="T70" s="357"/>
      <c r="U70" s="357"/>
      <c r="V70" s="357"/>
      <c r="W70" s="368"/>
      <c r="X70" s="357"/>
      <c r="Y70" s="357"/>
      <c r="Z70" s="357"/>
      <c r="AA70" s="357"/>
      <c r="AB70" s="357"/>
      <c r="AC70" s="357"/>
      <c r="AD70" s="357"/>
      <c r="AE70" s="357"/>
      <c r="AF70" s="357"/>
      <c r="AG70" s="427"/>
      <c r="AH70" s="248"/>
      <c r="AI70" s="36"/>
      <c r="AJ70" s="572"/>
      <c r="AK70" s="87"/>
      <c r="AM70" s="573" t="s">
        <v>49</v>
      </c>
      <c r="AN70" s="574"/>
      <c r="AO70" s="574"/>
      <c r="AP70" s="574"/>
      <c r="AQ70" s="574"/>
      <c r="AR70" s="574"/>
      <c r="AS70" s="308">
        <f>IF(T52&lt;=380000,0,IF(T52&lt;400000,IF(AA22&lt;=9000000,50000,IF(AA22&lt;=9500000,40000,IF(AA22&lt;=10000000,20000,0))),IF(T52&lt;450000,IF(AA22&lt;=9000000,30000,IF(AA22&lt;=9500000,20000,IF(AA22&lt;=10000000,10000,0))),0)))</f>
        <v>0</v>
      </c>
      <c r="AT70" s="309"/>
      <c r="AU70" s="309"/>
      <c r="AV70" s="310"/>
      <c r="AY70" s="50">
        <v>33</v>
      </c>
      <c r="AZ70" s="51"/>
      <c r="BA70" s="51"/>
      <c r="BB70" s="6"/>
      <c r="BC70" s="50"/>
    </row>
    <row r="71" spans="3:55" ht="18" customHeight="1" thickTop="1">
      <c r="C71" s="577" t="s">
        <v>248</v>
      </c>
      <c r="D71" s="578"/>
      <c r="E71" s="578"/>
      <c r="F71" s="578"/>
      <c r="G71" s="578"/>
      <c r="H71" s="578"/>
      <c r="I71" s="578"/>
      <c r="J71" s="578"/>
      <c r="K71" s="578"/>
      <c r="L71" s="578"/>
      <c r="M71" s="578"/>
      <c r="N71" s="578"/>
      <c r="O71" s="578"/>
      <c r="P71" s="578"/>
      <c r="Q71" s="578"/>
      <c r="R71" s="578"/>
      <c r="S71" s="578"/>
      <c r="T71" s="578"/>
      <c r="U71" s="578"/>
      <c r="V71" s="578"/>
      <c r="W71" s="579"/>
      <c r="X71" s="683"/>
      <c r="Y71" s="684"/>
      <c r="Z71" s="684"/>
      <c r="AA71" s="684"/>
      <c r="AB71" s="684"/>
      <c r="AC71" s="684"/>
      <c r="AD71" s="684"/>
      <c r="AE71" s="684"/>
      <c r="AF71" s="690"/>
      <c r="AG71" s="627"/>
      <c r="AH71" s="248"/>
      <c r="AI71" s="36"/>
      <c r="AJ71" s="572"/>
      <c r="AK71" s="87"/>
      <c r="AL71" s="661" t="s">
        <v>183</v>
      </c>
      <c r="AM71" s="573" t="s">
        <v>119</v>
      </c>
      <c r="AN71" s="574"/>
      <c r="AO71" s="574"/>
      <c r="AP71" s="574"/>
      <c r="AQ71" s="574"/>
      <c r="AR71" s="574"/>
      <c r="AS71" s="308">
        <f>IF(T54&gt;0,T54*50000,0)</f>
        <v>0</v>
      </c>
      <c r="AT71" s="309"/>
      <c r="AU71" s="309"/>
      <c r="AV71" s="310"/>
      <c r="AY71" s="50">
        <v>40</v>
      </c>
      <c r="AZ71" s="51"/>
      <c r="BA71" s="51"/>
      <c r="BB71" s="6"/>
      <c r="BC71" s="50"/>
    </row>
    <row r="72" spans="3:54" ht="18" customHeight="1" thickBot="1">
      <c r="C72" s="685" t="s">
        <v>232</v>
      </c>
      <c r="D72" s="686"/>
      <c r="E72" s="686"/>
      <c r="F72" s="686"/>
      <c r="G72" s="686"/>
      <c r="H72" s="686"/>
      <c r="I72" s="686"/>
      <c r="J72" s="686"/>
      <c r="K72" s="686"/>
      <c r="L72" s="686"/>
      <c r="M72" s="686"/>
      <c r="N72" s="686"/>
      <c r="O72" s="686"/>
      <c r="P72" s="686"/>
      <c r="Q72" s="686"/>
      <c r="R72" s="686"/>
      <c r="S72" s="686"/>
      <c r="T72" s="686"/>
      <c r="U72" s="686"/>
      <c r="V72" s="686"/>
      <c r="W72" s="687"/>
      <c r="X72" s="688"/>
      <c r="Y72" s="689"/>
      <c r="Z72" s="689"/>
      <c r="AA72" s="689"/>
      <c r="AB72" s="689"/>
      <c r="AC72" s="689"/>
      <c r="AD72" s="689"/>
      <c r="AE72" s="689"/>
      <c r="AF72" s="290"/>
      <c r="AG72" s="291"/>
      <c r="AH72" s="295"/>
      <c r="AI72" s="296"/>
      <c r="AJ72" s="83"/>
      <c r="AK72" s="85"/>
      <c r="AL72" s="661"/>
      <c r="AM72" s="481" t="s">
        <v>120</v>
      </c>
      <c r="AN72" s="482"/>
      <c r="AO72" s="482"/>
      <c r="AP72" s="482"/>
      <c r="AQ72" s="482"/>
      <c r="AR72" s="482"/>
      <c r="AS72" s="308">
        <f>IF(T56&gt;0,T56*180000,0)</f>
        <v>0</v>
      </c>
      <c r="AT72" s="309"/>
      <c r="AU72" s="309"/>
      <c r="AV72" s="310"/>
      <c r="AY72" s="52">
        <v>45</v>
      </c>
      <c r="AZ72" s="53"/>
      <c r="BA72" s="53"/>
      <c r="BB72" s="9"/>
    </row>
    <row r="73" spans="3:48" ht="18" customHeight="1" thickBot="1">
      <c r="C73" s="419" t="s">
        <v>247</v>
      </c>
      <c r="D73" s="420"/>
      <c r="E73" s="420"/>
      <c r="F73" s="420"/>
      <c r="G73" s="420"/>
      <c r="H73" s="420"/>
      <c r="I73" s="420"/>
      <c r="J73" s="420"/>
      <c r="K73" s="420"/>
      <c r="L73" s="420"/>
      <c r="M73" s="420"/>
      <c r="N73" s="420"/>
      <c r="O73" s="420"/>
      <c r="P73" s="420"/>
      <c r="Q73" s="420"/>
      <c r="R73" s="420"/>
      <c r="S73" s="420"/>
      <c r="T73" s="420"/>
      <c r="U73" s="420"/>
      <c r="V73" s="420"/>
      <c r="W73" s="421"/>
      <c r="X73" s="363"/>
      <c r="Y73" s="364"/>
      <c r="Z73" s="364"/>
      <c r="AA73" s="364"/>
      <c r="AB73" s="364"/>
      <c r="AC73" s="364"/>
      <c r="AD73" s="364"/>
      <c r="AE73" s="364"/>
      <c r="AF73" s="417" t="s">
        <v>0</v>
      </c>
      <c r="AG73" s="418"/>
      <c r="AH73" s="36"/>
      <c r="AI73" s="36"/>
      <c r="AJ73" s="83"/>
      <c r="AK73" s="85"/>
      <c r="AM73" s="573" t="s">
        <v>121</v>
      </c>
      <c r="AN73" s="574"/>
      <c r="AO73" s="574"/>
      <c r="AP73" s="574"/>
      <c r="AQ73" s="574"/>
      <c r="AR73" s="574"/>
      <c r="AS73" s="308">
        <f>IF(T57&gt;0,T57*100000,0)</f>
        <v>0</v>
      </c>
      <c r="AT73" s="309"/>
      <c r="AU73" s="309"/>
      <c r="AV73" s="310"/>
    </row>
    <row r="74" spans="3:48" ht="18" customHeight="1">
      <c r="C74" s="51"/>
      <c r="D74" s="51"/>
      <c r="E74" s="51"/>
      <c r="F74" s="51"/>
      <c r="G74" s="51"/>
      <c r="H74" s="51"/>
      <c r="I74" s="51"/>
      <c r="J74" s="51"/>
      <c r="K74" s="51"/>
      <c r="L74" s="51"/>
      <c r="M74" s="51"/>
      <c r="N74" s="51"/>
      <c r="O74" s="51"/>
      <c r="P74" s="51"/>
      <c r="Q74" s="51"/>
      <c r="R74" s="51"/>
      <c r="S74" s="51"/>
      <c r="T74" s="237"/>
      <c r="U74" s="237"/>
      <c r="V74" s="237"/>
      <c r="W74" s="237"/>
      <c r="X74" s="236"/>
      <c r="Y74" s="236"/>
      <c r="Z74" s="236"/>
      <c r="AA74" s="236"/>
      <c r="AB74" s="236"/>
      <c r="AC74" s="236"/>
      <c r="AD74" s="236"/>
      <c r="AE74" s="236"/>
      <c r="AF74" s="238"/>
      <c r="AG74" s="238"/>
      <c r="AH74" s="244"/>
      <c r="AI74" s="244"/>
      <c r="AJ74" s="239"/>
      <c r="AK74" s="240"/>
      <c r="AL74" s="36"/>
      <c r="AM74" s="573" t="s">
        <v>122</v>
      </c>
      <c r="AN74" s="574"/>
      <c r="AO74" s="574"/>
      <c r="AP74" s="574"/>
      <c r="AQ74" s="574"/>
      <c r="AR74" s="574"/>
      <c r="AS74" s="308">
        <f>IF(U58&gt;0,U58*30000,0)</f>
        <v>0</v>
      </c>
      <c r="AT74" s="309"/>
      <c r="AU74" s="309"/>
      <c r="AV74" s="310"/>
    </row>
    <row r="75" spans="2:48" ht="18" customHeight="1">
      <c r="B75" s="36"/>
      <c r="C75" s="231" t="s">
        <v>188</v>
      </c>
      <c r="D75" s="234" t="s">
        <v>252</v>
      </c>
      <c r="E75" s="234"/>
      <c r="F75" s="234"/>
      <c r="G75" s="234"/>
      <c r="H75" s="234"/>
      <c r="I75" s="234"/>
      <c r="J75" s="234"/>
      <c r="K75" s="234"/>
      <c r="L75" s="234"/>
      <c r="M75" s="234"/>
      <c r="N75" s="234"/>
      <c r="O75" s="234"/>
      <c r="P75" s="234"/>
      <c r="Q75" s="234"/>
      <c r="R75" s="234"/>
      <c r="S75" s="234"/>
      <c r="T75" s="241"/>
      <c r="U75" s="241"/>
      <c r="V75" s="242"/>
      <c r="W75" s="242"/>
      <c r="X75" s="236"/>
      <c r="Y75" s="236"/>
      <c r="Z75" s="236"/>
      <c r="AA75" s="236"/>
      <c r="AB75" s="236"/>
      <c r="AC75" s="236"/>
      <c r="AD75" s="236"/>
      <c r="AE75" s="236"/>
      <c r="AF75" s="243"/>
      <c r="AG75" s="243"/>
      <c r="AH75" s="244"/>
      <c r="AI75" s="244"/>
      <c r="AJ75" s="239"/>
      <c r="AK75" s="240"/>
      <c r="AM75" s="573" t="s">
        <v>127</v>
      </c>
      <c r="AN75" s="574"/>
      <c r="AO75" s="574"/>
      <c r="AP75" s="574"/>
      <c r="AQ75" s="574"/>
      <c r="AR75" s="574"/>
      <c r="AS75" s="308">
        <f>IF(T61&gt;0,T61*10000,0)</f>
        <v>0</v>
      </c>
      <c r="AT75" s="309"/>
      <c r="AU75" s="309"/>
      <c r="AV75" s="310"/>
    </row>
    <row r="76" spans="3:54" ht="18" customHeight="1">
      <c r="C76" s="231"/>
      <c r="D76" s="677" t="s">
        <v>254</v>
      </c>
      <c r="E76" s="678"/>
      <c r="F76" s="678"/>
      <c r="G76" s="678"/>
      <c r="H76" s="678"/>
      <c r="I76" s="678"/>
      <c r="J76" s="679"/>
      <c r="K76" s="680">
        <f>IF((AB86-AB87)*0.2=0,0,((AB86-AB87)*0.2)/AV101+2000)</f>
        <v>0</v>
      </c>
      <c r="L76" s="681"/>
      <c r="M76" s="681"/>
      <c r="N76" s="682"/>
      <c r="O76" s="235" t="s">
        <v>0</v>
      </c>
      <c r="P76" s="251"/>
      <c r="Q76" s="252" t="s">
        <v>253</v>
      </c>
      <c r="R76" s="251"/>
      <c r="S76" s="251"/>
      <c r="T76" s="253"/>
      <c r="U76" s="253"/>
      <c r="V76" s="253"/>
      <c r="W76" s="253"/>
      <c r="X76" s="254"/>
      <c r="Y76" s="255"/>
      <c r="Z76" s="255"/>
      <c r="AA76" s="256"/>
      <c r="AB76" s="256"/>
      <c r="AC76" s="256"/>
      <c r="AD76" s="256"/>
      <c r="AE76" s="256"/>
      <c r="AF76" s="257"/>
      <c r="AG76" s="257"/>
      <c r="AH76" s="237"/>
      <c r="AI76" s="237"/>
      <c r="AJ76" s="245"/>
      <c r="AK76" s="240"/>
      <c r="AM76" s="573" t="s">
        <v>128</v>
      </c>
      <c r="AN76" s="574"/>
      <c r="AO76" s="574"/>
      <c r="AP76" s="574"/>
      <c r="AQ76" s="574"/>
      <c r="AR76" s="574"/>
      <c r="AS76" s="308">
        <f>IF(T62&gt;0,T62*100000,0)</f>
        <v>0</v>
      </c>
      <c r="AT76" s="309"/>
      <c r="AU76" s="309"/>
      <c r="AV76" s="310"/>
      <c r="BA76" s="1"/>
      <c r="BB76" s="1"/>
    </row>
    <row r="77" spans="3:48" ht="18" customHeight="1">
      <c r="C77" s="99" t="s">
        <v>246</v>
      </c>
      <c r="D77" s="98" t="s">
        <v>190</v>
      </c>
      <c r="R77" s="98" t="s">
        <v>191</v>
      </c>
      <c r="S77" s="361" t="s">
        <v>203</v>
      </c>
      <c r="T77" s="361"/>
      <c r="U77" s="361"/>
      <c r="V77" s="361"/>
      <c r="W77" s="361"/>
      <c r="X77" s="361"/>
      <c r="Y77" s="361"/>
      <c r="Z77" s="361"/>
      <c r="AA77" s="361"/>
      <c r="AB77" s="361"/>
      <c r="AC77" s="361"/>
      <c r="AD77" s="361"/>
      <c r="AE77" s="361"/>
      <c r="AF77" s="233"/>
      <c r="AG77" s="233"/>
      <c r="AH77" s="36"/>
      <c r="AI77" s="36"/>
      <c r="AJ77" s="83"/>
      <c r="AK77" s="85"/>
      <c r="AM77" s="573" t="s">
        <v>123</v>
      </c>
      <c r="AN77" s="574"/>
      <c r="AO77" s="574"/>
      <c r="AP77" s="574"/>
      <c r="AQ77" s="574"/>
      <c r="AR77" s="589"/>
      <c r="AS77" s="308">
        <f>IF(U63&gt;0,U63*120000,0)</f>
        <v>0</v>
      </c>
      <c r="AT77" s="309"/>
      <c r="AU77" s="309"/>
      <c r="AV77" s="310"/>
    </row>
    <row r="78" spans="2:48" ht="18" customHeight="1">
      <c r="B78" s="93"/>
      <c r="AB78" s="60"/>
      <c r="AC78" s="60"/>
      <c r="AD78" s="60"/>
      <c r="AE78" s="60"/>
      <c r="AF78" s="60"/>
      <c r="AH78" s="110"/>
      <c r="AI78" s="36"/>
      <c r="AJ78" s="83"/>
      <c r="AK78" s="85"/>
      <c r="AM78" s="599" t="s">
        <v>124</v>
      </c>
      <c r="AN78" s="600"/>
      <c r="AO78" s="600"/>
      <c r="AP78" s="600"/>
      <c r="AQ78" s="600"/>
      <c r="AR78" s="601"/>
      <c r="AS78" s="297">
        <v>50000</v>
      </c>
      <c r="AT78" s="298"/>
      <c r="AU78" s="298"/>
      <c r="AV78" s="299"/>
    </row>
    <row r="79" spans="2:48" ht="18" customHeight="1" thickBot="1">
      <c r="B79" s="93">
        <v>4</v>
      </c>
      <c r="C79" s="94" t="s">
        <v>263</v>
      </c>
      <c r="AD79" s="362" t="s">
        <v>173</v>
      </c>
      <c r="AE79" s="362"/>
      <c r="AF79" s="362"/>
      <c r="AG79" s="362"/>
      <c r="AH79" s="63"/>
      <c r="AI79" s="36"/>
      <c r="AJ79" s="83"/>
      <c r="AK79" s="85"/>
      <c r="AM79" s="481" t="s">
        <v>125</v>
      </c>
      <c r="AN79" s="482"/>
      <c r="AO79" s="482"/>
      <c r="AP79" s="482"/>
      <c r="AQ79" s="482"/>
      <c r="AR79" s="483"/>
      <c r="AS79" s="258">
        <f>AS66+AS67+AS68+AS69+AS70+AS71+AS72+AS73+AS74+AS75+AS76+AS77+AS78</f>
        <v>50000</v>
      </c>
      <c r="AT79" s="259"/>
      <c r="AU79" s="259"/>
      <c r="AV79" s="260"/>
    </row>
    <row r="80" spans="3:52" ht="18" customHeight="1">
      <c r="C80" s="365" t="s">
        <v>80</v>
      </c>
      <c r="D80" s="355"/>
      <c r="E80" s="355"/>
      <c r="F80" s="355"/>
      <c r="G80" s="355"/>
      <c r="H80" s="355"/>
      <c r="I80" s="355"/>
      <c r="J80" s="355"/>
      <c r="K80" s="355"/>
      <c r="L80" s="355"/>
      <c r="M80" s="355"/>
      <c r="N80" s="355"/>
      <c r="O80" s="366"/>
      <c r="P80" s="354" t="s">
        <v>81</v>
      </c>
      <c r="Q80" s="355"/>
      <c r="R80" s="355"/>
      <c r="S80" s="355"/>
      <c r="T80" s="355"/>
      <c r="U80" s="355"/>
      <c r="V80" s="354" t="s">
        <v>82</v>
      </c>
      <c r="W80" s="355"/>
      <c r="X80" s="355"/>
      <c r="Y80" s="355"/>
      <c r="Z80" s="355"/>
      <c r="AA80" s="355"/>
      <c r="AB80" s="354" t="s">
        <v>83</v>
      </c>
      <c r="AC80" s="355"/>
      <c r="AD80" s="355"/>
      <c r="AE80" s="355"/>
      <c r="AF80" s="355"/>
      <c r="AG80" s="426"/>
      <c r="AH80" s="63"/>
      <c r="AI80" s="36"/>
      <c r="AJ80" s="83"/>
      <c r="AK80" s="85"/>
      <c r="AM80" s="127" t="s">
        <v>133</v>
      </c>
      <c r="AN80" s="128"/>
      <c r="AO80" s="128"/>
      <c r="AP80" s="128"/>
      <c r="AQ80" s="128"/>
      <c r="AR80" s="128"/>
      <c r="AS80" s="128"/>
      <c r="AT80" s="128"/>
      <c r="AU80" s="128"/>
      <c r="AV80" s="128"/>
      <c r="AW80" s="128"/>
      <c r="AX80" s="128"/>
      <c r="AY80" s="128"/>
      <c r="AZ80" s="129"/>
    </row>
    <row r="81" spans="3:54" ht="18" customHeight="1" thickBot="1">
      <c r="C81" s="367"/>
      <c r="D81" s="357"/>
      <c r="E81" s="357"/>
      <c r="F81" s="357"/>
      <c r="G81" s="357"/>
      <c r="H81" s="357"/>
      <c r="I81" s="357"/>
      <c r="J81" s="357"/>
      <c r="K81" s="357"/>
      <c r="L81" s="357"/>
      <c r="M81" s="357"/>
      <c r="N81" s="357"/>
      <c r="O81" s="368"/>
      <c r="P81" s="356"/>
      <c r="Q81" s="357"/>
      <c r="R81" s="357"/>
      <c r="S81" s="357"/>
      <c r="T81" s="357"/>
      <c r="U81" s="357"/>
      <c r="V81" s="356"/>
      <c r="W81" s="357"/>
      <c r="X81" s="357"/>
      <c r="Y81" s="357"/>
      <c r="Z81" s="357"/>
      <c r="AA81" s="357"/>
      <c r="AB81" s="356"/>
      <c r="AC81" s="357"/>
      <c r="AD81" s="357"/>
      <c r="AE81" s="357"/>
      <c r="AF81" s="357"/>
      <c r="AG81" s="427"/>
      <c r="AH81" s="232"/>
      <c r="AI81" s="36"/>
      <c r="AJ81" s="83"/>
      <c r="AK81" s="85"/>
      <c r="AM81" s="39" t="s">
        <v>92</v>
      </c>
      <c r="AN81" s="144" t="s">
        <v>130</v>
      </c>
      <c r="AO81" s="144"/>
      <c r="AP81" s="144"/>
      <c r="AQ81" s="144"/>
      <c r="AR81" s="144"/>
      <c r="AS81" s="144"/>
      <c r="AT81" s="144"/>
      <c r="AU81" s="146"/>
      <c r="AV81" s="339">
        <f>IF(AB84&lt;=2000000,AS79,"*****")</f>
        <v>50000</v>
      </c>
      <c r="AW81" s="340"/>
      <c r="AX81" s="340"/>
      <c r="AY81" s="340"/>
      <c r="AZ81" s="341"/>
      <c r="BA81" s="41"/>
      <c r="BB81" s="1"/>
    </row>
    <row r="82" spans="3:54" ht="18" customHeight="1" thickTop="1">
      <c r="C82" s="430" t="s">
        <v>107</v>
      </c>
      <c r="D82" s="424"/>
      <c r="E82" s="424"/>
      <c r="F82" s="424"/>
      <c r="G82" s="424"/>
      <c r="H82" s="424"/>
      <c r="I82" s="424"/>
      <c r="J82" s="424" t="s">
        <v>94</v>
      </c>
      <c r="K82" s="424"/>
      <c r="L82" s="424"/>
      <c r="M82" s="424"/>
      <c r="N82" s="424"/>
      <c r="O82" s="425"/>
      <c r="P82" s="414"/>
      <c r="Q82" s="415"/>
      <c r="R82" s="415"/>
      <c r="S82" s="415"/>
      <c r="T82" s="415"/>
      <c r="U82" s="415"/>
      <c r="V82" s="415"/>
      <c r="W82" s="415"/>
      <c r="X82" s="415"/>
      <c r="Y82" s="415"/>
      <c r="Z82" s="415"/>
      <c r="AA82" s="416"/>
      <c r="AB82" s="422">
        <f>IF(AND(AJ18="",AJ29="",AJ44="",AJ45="",AJ47="",AJ50="",AJ52="",AJ58="",AJ59="",AJ63="",AJ70=""),AA22,"＊＊＊＊＊")</f>
        <v>0</v>
      </c>
      <c r="AC82" s="423"/>
      <c r="AD82" s="423"/>
      <c r="AE82" s="423"/>
      <c r="AF82" s="423"/>
      <c r="AG82" s="70"/>
      <c r="AH82" s="232"/>
      <c r="AI82" s="36"/>
      <c r="AJ82" s="83"/>
      <c r="AK82" s="85"/>
      <c r="AM82" s="38" t="s">
        <v>131</v>
      </c>
      <c r="AN82" s="175" t="s">
        <v>132</v>
      </c>
      <c r="AO82" s="175"/>
      <c r="AP82" s="175"/>
      <c r="AQ82" s="175"/>
      <c r="AR82" s="175"/>
      <c r="AS82" s="175"/>
      <c r="AT82" s="175"/>
      <c r="AU82" s="176"/>
      <c r="AV82" s="580">
        <f>IF(AB84&lt;=2000000,AB84,"*****")</f>
        <v>0</v>
      </c>
      <c r="AW82" s="581"/>
      <c r="AX82" s="581"/>
      <c r="AY82" s="581"/>
      <c r="AZ82" s="582"/>
      <c r="BA82" s="41"/>
      <c r="BB82" s="1"/>
    </row>
    <row r="83" spans="3:54" ht="18" customHeight="1">
      <c r="C83" s="431" t="s">
        <v>108</v>
      </c>
      <c r="D83" s="376"/>
      <c r="E83" s="376"/>
      <c r="F83" s="376"/>
      <c r="G83" s="376"/>
      <c r="H83" s="376"/>
      <c r="I83" s="376"/>
      <c r="J83" s="376" t="s">
        <v>95</v>
      </c>
      <c r="K83" s="376"/>
      <c r="L83" s="376"/>
      <c r="M83" s="376"/>
      <c r="N83" s="376"/>
      <c r="O83" s="377"/>
      <c r="P83" s="358"/>
      <c r="Q83" s="359"/>
      <c r="R83" s="359"/>
      <c r="S83" s="359"/>
      <c r="T83" s="359"/>
      <c r="U83" s="359"/>
      <c r="V83" s="359"/>
      <c r="W83" s="359"/>
      <c r="X83" s="359"/>
      <c r="Y83" s="359"/>
      <c r="Z83" s="359"/>
      <c r="AA83" s="360"/>
      <c r="AB83" s="277">
        <f>IF(AND(AJ18="",AJ29="",AJ44="",AJ45="",AJ47="",AJ50="",AJ52="",AJ58="",AJ59="",AJ63="",AJ70=""),AA65,"＊＊＊＊＊")</f>
        <v>330000</v>
      </c>
      <c r="AC83" s="278"/>
      <c r="AD83" s="278"/>
      <c r="AE83" s="278"/>
      <c r="AF83" s="278"/>
      <c r="AG83" s="71"/>
      <c r="AH83" s="232"/>
      <c r="AI83" s="36"/>
      <c r="AJ83" s="83"/>
      <c r="AK83" s="85"/>
      <c r="AM83" s="124" t="s">
        <v>244</v>
      </c>
      <c r="AN83" s="149"/>
      <c r="AO83" s="149"/>
      <c r="AP83" s="149"/>
      <c r="AQ83" s="149"/>
      <c r="AR83" s="149"/>
      <c r="AS83" s="149"/>
      <c r="AT83" s="149"/>
      <c r="AU83" s="150"/>
      <c r="AV83" s="287">
        <f>IF(AB84&gt;2000000,"*****",IF(AV81&gt;AV82,AV82*0.05,AV81*0.05))</f>
        <v>0</v>
      </c>
      <c r="AW83" s="288"/>
      <c r="AX83" s="288"/>
      <c r="AY83" s="288"/>
      <c r="AZ83" s="289"/>
      <c r="BA83" s="41"/>
      <c r="BB83" s="1"/>
    </row>
    <row r="84" spans="3:53" ht="18" customHeight="1">
      <c r="C84" s="431" t="s">
        <v>109</v>
      </c>
      <c r="D84" s="376"/>
      <c r="E84" s="376"/>
      <c r="F84" s="376"/>
      <c r="G84" s="376"/>
      <c r="H84" s="376"/>
      <c r="I84" s="376"/>
      <c r="J84" s="376" t="s">
        <v>96</v>
      </c>
      <c r="K84" s="376"/>
      <c r="L84" s="376"/>
      <c r="M84" s="376"/>
      <c r="N84" s="376"/>
      <c r="O84" s="377"/>
      <c r="P84" s="358"/>
      <c r="Q84" s="359"/>
      <c r="R84" s="359"/>
      <c r="S84" s="359"/>
      <c r="T84" s="359"/>
      <c r="U84" s="359"/>
      <c r="V84" s="359"/>
      <c r="W84" s="359"/>
      <c r="X84" s="359"/>
      <c r="Y84" s="359"/>
      <c r="Z84" s="359"/>
      <c r="AA84" s="360"/>
      <c r="AB84" s="277">
        <f>IF(AND(AJ18="",AJ29="",AJ44="",AJ45="",AJ47="",AJ50="",AJ52="",AJ58="",AJ59="",AJ63="",AJ70=""),IF(AB82-AB83&lt;=0,0,ROUNDDOWN(AB82-AB83,-3)),"＊＊＊＊＊")</f>
        <v>0</v>
      </c>
      <c r="AC84" s="278">
        <f>IF(X94-X125&lt;=0,0,ROUNDDOWN(X94-X125,-3))</f>
        <v>0</v>
      </c>
      <c r="AD84" s="278">
        <f>IF(Y94-Y125&lt;=0,0,ROUNDDOWN(Y94-Y125,-3))</f>
        <v>0</v>
      </c>
      <c r="AE84" s="278">
        <f>IF(Z94-Z125&lt;=0,0,ROUNDDOWN(Z94-Z125,-3))</f>
        <v>0</v>
      </c>
      <c r="AF84" s="278">
        <f>IF(AA94-AA125&lt;=0,0,ROUNDDOWN(AA94-AA125,-3))</f>
        <v>0</v>
      </c>
      <c r="AG84" s="71"/>
      <c r="AH84" s="250"/>
      <c r="AI84" s="36"/>
      <c r="AJ84" s="83"/>
      <c r="AK84" s="85"/>
      <c r="AM84" s="124" t="s">
        <v>135</v>
      </c>
      <c r="AN84" s="125"/>
      <c r="AO84" s="125"/>
      <c r="AP84" s="125"/>
      <c r="AQ84" s="125"/>
      <c r="AR84" s="125"/>
      <c r="AS84" s="125"/>
      <c r="AT84" s="125"/>
      <c r="AU84" s="125"/>
      <c r="AV84" s="125"/>
      <c r="AW84" s="125"/>
      <c r="AX84" s="125"/>
      <c r="AY84" s="125"/>
      <c r="AZ84" s="126"/>
      <c r="BA84" s="1"/>
    </row>
    <row r="85" spans="3:53" ht="18" customHeight="1">
      <c r="C85" s="434" t="s">
        <v>77</v>
      </c>
      <c r="D85" s="396" t="s">
        <v>110</v>
      </c>
      <c r="E85" s="397"/>
      <c r="F85" s="397"/>
      <c r="G85" s="397"/>
      <c r="H85" s="397"/>
      <c r="I85" s="397"/>
      <c r="J85" s="397" t="s">
        <v>97</v>
      </c>
      <c r="K85" s="397"/>
      <c r="L85" s="397"/>
      <c r="M85" s="397"/>
      <c r="N85" s="397"/>
      <c r="O85" s="438"/>
      <c r="P85" s="408" t="s">
        <v>86</v>
      </c>
      <c r="Q85" s="409"/>
      <c r="R85" s="409"/>
      <c r="S85" s="409"/>
      <c r="T85" s="409"/>
      <c r="U85" s="410"/>
      <c r="V85" s="408" t="s">
        <v>87</v>
      </c>
      <c r="W85" s="409"/>
      <c r="X85" s="409"/>
      <c r="Y85" s="409"/>
      <c r="Z85" s="409"/>
      <c r="AA85" s="409"/>
      <c r="AB85" s="411" t="s">
        <v>85</v>
      </c>
      <c r="AC85" s="412"/>
      <c r="AD85" s="412"/>
      <c r="AE85" s="412"/>
      <c r="AF85" s="412"/>
      <c r="AG85" s="413"/>
      <c r="AH85" s="232"/>
      <c r="AI85" s="36"/>
      <c r="AJ85" s="83"/>
      <c r="AK85" s="85"/>
      <c r="AM85" s="39" t="s">
        <v>92</v>
      </c>
      <c r="AN85" s="144" t="s">
        <v>130</v>
      </c>
      <c r="AO85" s="144"/>
      <c r="AP85" s="144"/>
      <c r="AQ85" s="144"/>
      <c r="AR85" s="144"/>
      <c r="AS85" s="144"/>
      <c r="AT85" s="144"/>
      <c r="AU85" s="146"/>
      <c r="AV85" s="339" t="str">
        <f>IF(AB84&gt;2000000,AS79,"*****")</f>
        <v>*****</v>
      </c>
      <c r="AW85" s="340"/>
      <c r="AX85" s="340"/>
      <c r="AY85" s="340"/>
      <c r="AZ85" s="341"/>
      <c r="BA85" s="42"/>
    </row>
    <row r="86" spans="3:53" ht="18" customHeight="1">
      <c r="C86" s="435"/>
      <c r="D86" s="432" t="s">
        <v>111</v>
      </c>
      <c r="E86" s="433"/>
      <c r="F86" s="433"/>
      <c r="G86" s="433"/>
      <c r="H86" s="433"/>
      <c r="I86" s="433"/>
      <c r="J86" s="433" t="s">
        <v>98</v>
      </c>
      <c r="K86" s="433"/>
      <c r="L86" s="433"/>
      <c r="M86" s="433"/>
      <c r="N86" s="433"/>
      <c r="O86" s="439"/>
      <c r="P86" s="279">
        <f>IF(AND(AJ18="",AJ29="",AJ44="",AJ45="",AJ47="",AJ50="",AJ52="",AJ58="",AJ59="",AJ63="",AJ70=""),IF(AB82&lt;=AV130,0,AB84*0.06),"＊＊＊＊＊")</f>
        <v>0</v>
      </c>
      <c r="Q86" s="280"/>
      <c r="R86" s="280"/>
      <c r="S86" s="280"/>
      <c r="T86" s="280"/>
      <c r="U86" s="72"/>
      <c r="V86" s="279">
        <f>IF(AND(AJ18="",AJ29="",AJ44="",AJ45="",AJ47="",AJ50="",AJ52="",AJ58="",AJ59="",AJ63="",AJ70=""),IF(AB82&lt;=AV130,0,AB84*0.04),"＊＊＊＊＊")</f>
        <v>0</v>
      </c>
      <c r="W86" s="280"/>
      <c r="X86" s="280"/>
      <c r="Y86" s="280"/>
      <c r="Z86" s="280"/>
      <c r="AA86" s="72"/>
      <c r="AB86" s="279">
        <f>IF(AND(AJ18="",AJ29="",AJ44="",AJ45="",AJ47="",AJ50="",AJ52="",AJ58="",AJ59="",AJ63="",AJ70=""),P86+V86,"＊＊＊＊＊")</f>
        <v>0</v>
      </c>
      <c r="AC86" s="280"/>
      <c r="AD86" s="280"/>
      <c r="AE86" s="280"/>
      <c r="AF86" s="280"/>
      <c r="AG86" s="73"/>
      <c r="AH86" s="232"/>
      <c r="AI86" s="36"/>
      <c r="AJ86" s="83"/>
      <c r="AK86" s="85"/>
      <c r="AM86" s="40" t="s">
        <v>131</v>
      </c>
      <c r="AN86" s="132" t="s">
        <v>132</v>
      </c>
      <c r="AO86" s="132"/>
      <c r="AP86" s="132"/>
      <c r="AQ86" s="132"/>
      <c r="AR86" s="132"/>
      <c r="AS86" s="132"/>
      <c r="AT86" s="132"/>
      <c r="AU86" s="133"/>
      <c r="AV86" s="308" t="str">
        <f>IF(AB84&gt;2000000,AB84,"*****")</f>
        <v>*****</v>
      </c>
      <c r="AW86" s="309"/>
      <c r="AX86" s="309"/>
      <c r="AY86" s="309"/>
      <c r="AZ86" s="310"/>
      <c r="BA86" s="42"/>
    </row>
    <row r="87" spans="3:54" ht="18" customHeight="1">
      <c r="C87" s="435"/>
      <c r="D87" s="432" t="s">
        <v>112</v>
      </c>
      <c r="E87" s="433"/>
      <c r="F87" s="433"/>
      <c r="G87" s="433"/>
      <c r="H87" s="433"/>
      <c r="I87" s="433"/>
      <c r="J87" s="433" t="s">
        <v>99</v>
      </c>
      <c r="K87" s="433"/>
      <c r="L87" s="433"/>
      <c r="M87" s="433"/>
      <c r="N87" s="433"/>
      <c r="O87" s="439"/>
      <c r="P87" s="279">
        <f>IF(AND(AJ18="",AJ29="",AJ44="",AJ45="",AJ47="",AJ50="",AJ52="",AJ58="",AJ59="",AJ63="",AJ70=""),IF(AB82&lt;=AV130,0,IF(AB84&lt;=2000000,AV83*0.6,AV88*0.6)),"＊＊＊＊＊")</f>
        <v>0</v>
      </c>
      <c r="Q87" s="280"/>
      <c r="R87" s="280"/>
      <c r="S87" s="280"/>
      <c r="T87" s="280"/>
      <c r="U87" s="72"/>
      <c r="V87" s="279">
        <f>IF(AND(AJ18="",AJ29="",AJ44="",AJ45="",AJ47="",AJ50="",AJ52="",AJ58="",AJ59="",AJ63="",AJ70=""),IF(AB82&lt;=AV130,0,IF(AB84&lt;=2000000,AV83*0.4,AV88*0.4)),"＊＊＊＊＊")</f>
        <v>0</v>
      </c>
      <c r="W87" s="280"/>
      <c r="X87" s="280"/>
      <c r="Y87" s="280"/>
      <c r="Z87" s="280"/>
      <c r="AA87" s="72"/>
      <c r="AB87" s="279">
        <f>IF(AND(AJ18="",AJ29="",AJ44="",AJ45="",AJ47="",AJ50="",AJ52="",AJ58="",AJ59="",AJ63="",AJ70=""),P87+V87,"＊＊＊＊＊")</f>
        <v>0</v>
      </c>
      <c r="AC87" s="280"/>
      <c r="AD87" s="280"/>
      <c r="AE87" s="280"/>
      <c r="AF87" s="280"/>
      <c r="AG87" s="73"/>
      <c r="AH87" s="232"/>
      <c r="AI87" s="36"/>
      <c r="AJ87" s="83"/>
      <c r="AK87" s="85"/>
      <c r="AM87" s="37" t="s">
        <v>136</v>
      </c>
      <c r="AN87" s="173" t="s">
        <v>134</v>
      </c>
      <c r="AO87" s="173"/>
      <c r="AP87" s="173"/>
      <c r="AQ87" s="173"/>
      <c r="AR87" s="173"/>
      <c r="AS87" s="173"/>
      <c r="AT87" s="173"/>
      <c r="AU87" s="174"/>
      <c r="AV87" s="580" t="str">
        <f>IF(AB84&gt;2000000,(AV85-(AV86-2000000))*0.05,"*****")</f>
        <v>*****</v>
      </c>
      <c r="AW87" s="581"/>
      <c r="AX87" s="581"/>
      <c r="AY87" s="581"/>
      <c r="AZ87" s="582"/>
      <c r="BA87" s="42"/>
      <c r="BB87" s="1"/>
    </row>
    <row r="88" spans="3:54" ht="18" customHeight="1" thickBot="1">
      <c r="C88" s="435"/>
      <c r="D88" s="432" t="s">
        <v>235</v>
      </c>
      <c r="E88" s="433"/>
      <c r="F88" s="433"/>
      <c r="G88" s="433"/>
      <c r="H88" s="433"/>
      <c r="I88" s="433"/>
      <c r="J88" s="433" t="s">
        <v>100</v>
      </c>
      <c r="K88" s="433"/>
      <c r="L88" s="433"/>
      <c r="M88" s="433"/>
      <c r="N88" s="433"/>
      <c r="O88" s="439"/>
      <c r="P88" s="279">
        <f>IF(AND(AJ18="",AJ29="",AJ44="",AJ45="",AJ47="",AJ50="",AJ52="",AJ58="",AJ59="",AJ63="",AJ70=""),IF(AV109&lt;0,0,IF(P86-P87&lt;AV112,P86-P87,AV112)),"＊＊＊＊＊")</f>
        <v>0</v>
      </c>
      <c r="Q88" s="280"/>
      <c r="R88" s="280"/>
      <c r="S88" s="280"/>
      <c r="T88" s="280"/>
      <c r="U88" s="72"/>
      <c r="V88" s="279">
        <f>IF(AND(AJ18="",AJ29="",AJ44="",AJ45="",AJ47="",AJ50="",AJ52="",AJ58="",AJ59="",AJ63="",AJ70=""),IF(AV110&lt;0,0,IF(V86-V87&lt;AV113,V86-V87,AV113)),"＊＊＊＊＊")</f>
        <v>0</v>
      </c>
      <c r="W88" s="280"/>
      <c r="X88" s="280"/>
      <c r="Y88" s="280"/>
      <c r="Z88" s="280"/>
      <c r="AA88" s="72"/>
      <c r="AB88" s="279">
        <f>IF(AND(AJ18="",AJ29="",AJ44="",AJ45="",AJ47="",AJ50="",AJ52="",AJ58="",AJ59="",AJ63="",AJ70=""),P88+V88,"＊＊＊＊＊")</f>
        <v>0</v>
      </c>
      <c r="AC88" s="280"/>
      <c r="AD88" s="280"/>
      <c r="AE88" s="280"/>
      <c r="AF88" s="280"/>
      <c r="AG88" s="73"/>
      <c r="AH88" s="295"/>
      <c r="AI88" s="296"/>
      <c r="AJ88" s="83"/>
      <c r="AK88" s="85"/>
      <c r="AM88" s="192" t="s">
        <v>243</v>
      </c>
      <c r="AN88" s="145"/>
      <c r="AO88" s="145"/>
      <c r="AP88" s="145"/>
      <c r="AQ88" s="145"/>
      <c r="AR88" s="145"/>
      <c r="AS88" s="145"/>
      <c r="AT88" s="145"/>
      <c r="AU88" s="151"/>
      <c r="AV88" s="258" t="str">
        <f>IF(AV87&gt;2500,AV87,2500)</f>
        <v>*****</v>
      </c>
      <c r="AW88" s="259"/>
      <c r="AX88" s="259"/>
      <c r="AY88" s="259"/>
      <c r="AZ88" s="260"/>
      <c r="BA88" s="42"/>
      <c r="BB88" s="1"/>
    </row>
    <row r="89" spans="3:37" ht="18" customHeight="1">
      <c r="C89" s="435"/>
      <c r="D89" s="436" t="s">
        <v>154</v>
      </c>
      <c r="E89" s="398"/>
      <c r="F89" s="398"/>
      <c r="G89" s="398"/>
      <c r="H89" s="398"/>
      <c r="I89" s="398"/>
      <c r="J89" s="398" t="s">
        <v>101</v>
      </c>
      <c r="K89" s="398"/>
      <c r="L89" s="398"/>
      <c r="M89" s="398"/>
      <c r="N89" s="398"/>
      <c r="O89" s="399"/>
      <c r="P89" s="279">
        <f>IF(AND(AJ18="",AJ29="",AJ44="",AJ45="",AJ47="",AJ50="",AJ52="",AJ58="",AJ59="",AJ63="",AJ70=""),IF(AV120&lt;0,0,IF(P86-P87-P88&gt;0,AV120,0)),"＊＊＊＊＊")</f>
        <v>0</v>
      </c>
      <c r="Q89" s="280"/>
      <c r="R89" s="280"/>
      <c r="S89" s="280"/>
      <c r="T89" s="280"/>
      <c r="U89" s="74"/>
      <c r="V89" s="279">
        <f>IF(AND(AJ18="",AJ29="",AJ44="",AJ45="",AJ47="",AJ50="",AJ52="",AJ58="",AJ59="",AJ63="",AJ70=""),IF(AV121&lt;0,0,IF(V86-V87-V88&gt;0,AV121,0)),"＊＊＊＊＊")</f>
        <v>0</v>
      </c>
      <c r="W89" s="280"/>
      <c r="X89" s="280"/>
      <c r="Y89" s="280"/>
      <c r="Z89" s="280"/>
      <c r="AA89" s="74"/>
      <c r="AB89" s="303">
        <f>IF(AND(AJ18="",AJ29="",AJ44="",AJ45="",AJ47="",AJ50="",AJ52="",AJ58="",AJ59="",AJ63="",AJ70=""),P89+V89,"＊＊＊＊＊")</f>
        <v>0</v>
      </c>
      <c r="AC89" s="304"/>
      <c r="AD89" s="304"/>
      <c r="AE89" s="304"/>
      <c r="AF89" s="304"/>
      <c r="AG89" s="75"/>
      <c r="AH89" s="68"/>
      <c r="AJ89" s="83"/>
      <c r="AK89" s="85"/>
    </row>
    <row r="90" spans="3:65" ht="18" customHeight="1" thickBot="1">
      <c r="C90" s="435"/>
      <c r="D90" s="437" t="s">
        <v>113</v>
      </c>
      <c r="E90" s="376"/>
      <c r="F90" s="376"/>
      <c r="G90" s="376"/>
      <c r="H90" s="376"/>
      <c r="I90" s="376"/>
      <c r="J90" s="376" t="s">
        <v>102</v>
      </c>
      <c r="K90" s="376"/>
      <c r="L90" s="376"/>
      <c r="M90" s="376"/>
      <c r="N90" s="376"/>
      <c r="O90" s="377"/>
      <c r="P90" s="277">
        <f>IF(AND(AJ18="",AJ29="",AJ44="",AJ45="",AJ47="",AJ50="",AJ52="",AJ58="",AJ59="",AJ63="",AJ70=""),ROUNDDOWN(P86-P87-P88-P89,-2),"＊＊＊＊＊")</f>
        <v>0</v>
      </c>
      <c r="Q90" s="278"/>
      <c r="R90" s="278"/>
      <c r="S90" s="278"/>
      <c r="T90" s="278"/>
      <c r="U90" s="76"/>
      <c r="V90" s="277">
        <f>IF(AND(AJ18="",AJ29="",AJ44="",AJ45="",AJ47="",AJ50="",AJ52="",AJ58="",AJ59="",AJ63="",AJ70=""),ROUNDDOWN(V86-V87-V88-V89,-2),"＊＊＊＊＊")</f>
        <v>0</v>
      </c>
      <c r="W90" s="278"/>
      <c r="X90" s="278"/>
      <c r="Y90" s="278"/>
      <c r="Z90" s="278"/>
      <c r="AA90" s="76"/>
      <c r="AB90" s="277">
        <f>IF(AND(AJ18="",AJ29="",AJ44="",AJ45="",AJ47="",AJ50="",AJ52="",AJ58="",AJ59="",AJ63="",AJ70=""),P90+V90,"＊＊＊＊＊")</f>
        <v>0</v>
      </c>
      <c r="AC90" s="278"/>
      <c r="AD90" s="278"/>
      <c r="AE90" s="278"/>
      <c r="AF90" s="278"/>
      <c r="AG90" s="71"/>
      <c r="AH90" s="68"/>
      <c r="AJ90" s="83"/>
      <c r="AK90" s="85"/>
      <c r="AM90" s="228" t="s">
        <v>237</v>
      </c>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row>
    <row r="91" spans="3:52" ht="18" customHeight="1" thickBot="1">
      <c r="C91" s="400" t="s">
        <v>114</v>
      </c>
      <c r="D91" s="374"/>
      <c r="E91" s="374"/>
      <c r="F91" s="374"/>
      <c r="G91" s="374"/>
      <c r="H91" s="374"/>
      <c r="I91" s="374"/>
      <c r="J91" s="374" t="s">
        <v>103</v>
      </c>
      <c r="K91" s="374"/>
      <c r="L91" s="374"/>
      <c r="M91" s="374"/>
      <c r="N91" s="374"/>
      <c r="O91" s="375"/>
      <c r="P91" s="275">
        <f>IF(AND(AJ18="",AJ29="",AJ44="",AJ45="",AJ47="",AJ50="",AJ52="",AJ58="",AJ59="",AJ63="",AJ70=""),IF(AB82&lt;=AV127,0,3500),"＊＊＊＊＊")</f>
        <v>0</v>
      </c>
      <c r="Q91" s="276"/>
      <c r="R91" s="276"/>
      <c r="S91" s="276"/>
      <c r="T91" s="276"/>
      <c r="U91" s="77"/>
      <c r="V91" s="275">
        <f>IF(AND(AJ18="",AJ29="",AJ44="",AJ45="",AJ47="",AJ50="",AJ52="",AJ58="",AJ59="",AJ63="",AJ70=""),IF(AB82&lt;=AV127,0,2200),"＊＊＊＊＊")</f>
        <v>0</v>
      </c>
      <c r="W91" s="276"/>
      <c r="X91" s="276"/>
      <c r="Y91" s="276"/>
      <c r="Z91" s="276"/>
      <c r="AA91" s="77"/>
      <c r="AB91" s="275">
        <f>IF(AND(AJ18="",AJ29="",AJ44="",AJ45="",AJ47="",AJ50="",AJ52="",AJ58="",AJ59="",AJ63="",AJ70=""),P91+V91,"＊＊＊＊＊")</f>
        <v>0</v>
      </c>
      <c r="AC91" s="276"/>
      <c r="AD91" s="276"/>
      <c r="AE91" s="276"/>
      <c r="AF91" s="276"/>
      <c r="AG91" s="78"/>
      <c r="AH91" s="69"/>
      <c r="AJ91" s="85"/>
      <c r="AK91" s="85"/>
      <c r="AM91" s="206" t="s">
        <v>214</v>
      </c>
      <c r="AN91" s="140"/>
      <c r="AO91" s="140"/>
      <c r="AP91" s="140"/>
      <c r="AQ91" s="140"/>
      <c r="AR91" s="140"/>
      <c r="AS91" s="140"/>
      <c r="AT91" s="140"/>
      <c r="AU91" s="140"/>
      <c r="AV91" s="140"/>
      <c r="AW91" s="140"/>
      <c r="AX91" s="140"/>
      <c r="AY91" s="140"/>
      <c r="AZ91" s="141"/>
    </row>
    <row r="92" spans="3:65" ht="18" customHeight="1" thickBot="1" thickTop="1">
      <c r="C92" s="428" t="s">
        <v>93</v>
      </c>
      <c r="D92" s="271"/>
      <c r="E92" s="271"/>
      <c r="F92" s="271"/>
      <c r="G92" s="271"/>
      <c r="H92" s="271"/>
      <c r="I92" s="271"/>
      <c r="J92" s="271" t="s">
        <v>104</v>
      </c>
      <c r="K92" s="271"/>
      <c r="L92" s="271"/>
      <c r="M92" s="271"/>
      <c r="N92" s="271"/>
      <c r="O92" s="272"/>
      <c r="P92" s="378" t="str">
        <f>IF(AND(AJ18="",AJ29="",AJ44="",AJ45="",AJ47="",AJ50="",AJ52="",AJ58="",AJ59="",AJ63="",AJ70=""),IF(P90+P91&gt;0,P90+P91,"非課税"),"＊＊＊＊＊")</f>
        <v>非課税</v>
      </c>
      <c r="Q92" s="379"/>
      <c r="R92" s="379"/>
      <c r="S92" s="379"/>
      <c r="T92" s="379"/>
      <c r="U92" s="79"/>
      <c r="V92" s="378" t="str">
        <f>IF(AND(AJ18="",AJ29="",AJ44="",AJ45="",AJ47="",AJ50="",AJ52="",AJ58="",AJ59="",AJ63="",AJ70=""),IF(V90+V91&gt;0,V90+V91,"非課税"),"＊＊＊＊＊")</f>
        <v>非課税</v>
      </c>
      <c r="W92" s="379"/>
      <c r="X92" s="379"/>
      <c r="Y92" s="379"/>
      <c r="Z92" s="379"/>
      <c r="AA92" s="79"/>
      <c r="AB92" s="378" t="str">
        <f>IF(AND(AJ18="",AJ29="",AJ44="",AJ45="",AJ47="",AJ50="",AJ52="",AJ58="",AJ59="",AJ63="",AJ70=""),IF(AB90+AB91&gt;0,AB90+AB91,"非課税"),"＊＊＊＊＊")</f>
        <v>非課税</v>
      </c>
      <c r="AC92" s="379"/>
      <c r="AD92" s="379"/>
      <c r="AE92" s="379"/>
      <c r="AF92" s="379"/>
      <c r="AG92" s="80"/>
      <c r="AH92" s="69"/>
      <c r="AJ92" s="85"/>
      <c r="AK92" s="85"/>
      <c r="AM92" s="160" t="s">
        <v>145</v>
      </c>
      <c r="AN92" s="161"/>
      <c r="AO92" s="161"/>
      <c r="AP92" s="161"/>
      <c r="AQ92" s="161"/>
      <c r="AR92" s="161"/>
      <c r="AS92" s="161"/>
      <c r="AT92" s="161"/>
      <c r="AU92" s="161"/>
      <c r="AV92" s="161"/>
      <c r="AW92" s="161"/>
      <c r="AX92" s="161"/>
      <c r="AY92" s="161"/>
      <c r="AZ92" s="162"/>
      <c r="BD92" s="292" t="s">
        <v>232</v>
      </c>
      <c r="BE92" s="293"/>
      <c r="BF92" s="293"/>
      <c r="BG92" s="293"/>
      <c r="BH92" s="293"/>
      <c r="BI92" s="293"/>
      <c r="BJ92" s="293"/>
      <c r="BK92" s="293"/>
      <c r="BL92" s="293"/>
      <c r="BM92" s="294"/>
    </row>
    <row r="93" spans="3:65" ht="18" customHeight="1" thickBot="1" thickTop="1">
      <c r="C93" s="429"/>
      <c r="D93" s="273"/>
      <c r="E93" s="273"/>
      <c r="F93" s="273"/>
      <c r="G93" s="273"/>
      <c r="H93" s="273"/>
      <c r="I93" s="273"/>
      <c r="J93" s="273"/>
      <c r="K93" s="273"/>
      <c r="L93" s="273"/>
      <c r="M93" s="273"/>
      <c r="N93" s="273"/>
      <c r="O93" s="274"/>
      <c r="P93" s="380"/>
      <c r="Q93" s="381"/>
      <c r="R93" s="381"/>
      <c r="S93" s="381"/>
      <c r="T93" s="381"/>
      <c r="U93" s="81"/>
      <c r="V93" s="380"/>
      <c r="W93" s="381"/>
      <c r="X93" s="381"/>
      <c r="Y93" s="381"/>
      <c r="Z93" s="381"/>
      <c r="AA93" s="81"/>
      <c r="AB93" s="380"/>
      <c r="AC93" s="381"/>
      <c r="AD93" s="381"/>
      <c r="AE93" s="381"/>
      <c r="AF93" s="381"/>
      <c r="AG93" s="82"/>
      <c r="AH93" s="51"/>
      <c r="AM93" s="59" t="s">
        <v>139</v>
      </c>
      <c r="AN93" s="154" t="s">
        <v>137</v>
      </c>
      <c r="AO93" s="154"/>
      <c r="AP93" s="154"/>
      <c r="AQ93" s="154"/>
      <c r="AR93" s="154"/>
      <c r="AS93" s="154"/>
      <c r="AT93" s="154"/>
      <c r="AU93" s="155"/>
      <c r="AV93" s="343">
        <f>X71+X73</f>
        <v>0</v>
      </c>
      <c r="AW93" s="343"/>
      <c r="AX93" s="343"/>
      <c r="AY93" s="343"/>
      <c r="AZ93" s="344"/>
      <c r="BD93" s="221"/>
      <c r="BE93" s="222"/>
      <c r="BF93" s="222"/>
      <c r="BG93" s="222"/>
      <c r="BH93" s="222"/>
      <c r="BI93" s="222"/>
      <c r="BJ93" s="222"/>
      <c r="BK93" s="222"/>
      <c r="BL93" s="222"/>
      <c r="BM93" s="223"/>
    </row>
    <row r="94" spans="3:65" ht="18" customHeight="1" thickBot="1">
      <c r="C94" s="103"/>
      <c r="D94" s="104"/>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51"/>
      <c r="AM94" s="43" t="s">
        <v>140</v>
      </c>
      <c r="AN94" s="158" t="s">
        <v>138</v>
      </c>
      <c r="AO94" s="158"/>
      <c r="AP94" s="158"/>
      <c r="AQ94" s="158"/>
      <c r="AR94" s="158"/>
      <c r="AS94" s="158"/>
      <c r="AT94" s="158"/>
      <c r="AU94" s="159"/>
      <c r="AV94" s="300">
        <f>ROUNDUP(AB82*0.3,0)</f>
        <v>0</v>
      </c>
      <c r="AW94" s="300"/>
      <c r="AX94" s="300"/>
      <c r="AY94" s="300"/>
      <c r="AZ94" s="301"/>
      <c r="BD94" s="196" t="s">
        <v>233</v>
      </c>
      <c r="BE94" s="197"/>
      <c r="BF94" s="197"/>
      <c r="BG94" s="197"/>
      <c r="BH94" s="197"/>
      <c r="BI94" s="197"/>
      <c r="BJ94" s="197"/>
      <c r="BK94" s="197"/>
      <c r="BL94" s="197"/>
      <c r="BM94" s="224"/>
    </row>
    <row r="95" spans="3:54" ht="18"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51"/>
      <c r="AM95" s="44" t="s">
        <v>141</v>
      </c>
      <c r="AN95" s="156" t="s">
        <v>142</v>
      </c>
      <c r="AO95" s="156"/>
      <c r="AP95" s="156"/>
      <c r="AQ95" s="156"/>
      <c r="AR95" s="156"/>
      <c r="AS95" s="156"/>
      <c r="AT95" s="156"/>
      <c r="AU95" s="157"/>
      <c r="AV95" s="583">
        <f>IF(AV93&gt;AV94,AV94,AV93)</f>
        <v>0</v>
      </c>
      <c r="AW95" s="583"/>
      <c r="AX95" s="583"/>
      <c r="AY95" s="583"/>
      <c r="AZ95" s="584"/>
      <c r="BB95" s="62"/>
    </row>
    <row r="96" spans="3:54" ht="18" customHeight="1">
      <c r="C96" s="1"/>
      <c r="D96" s="1"/>
      <c r="E96" s="1"/>
      <c r="F96" s="1"/>
      <c r="G96" s="1"/>
      <c r="H96" s="1"/>
      <c r="I96" s="51"/>
      <c r="J96" s="1"/>
      <c r="K96" s="1"/>
      <c r="L96" s="1"/>
      <c r="M96" s="1"/>
      <c r="N96" s="1"/>
      <c r="O96" s="1"/>
      <c r="P96" s="1"/>
      <c r="Q96" s="1"/>
      <c r="R96" s="1"/>
      <c r="S96" s="1"/>
      <c r="T96" s="1"/>
      <c r="U96" s="1"/>
      <c r="V96" s="1"/>
      <c r="W96" s="1"/>
      <c r="X96" s="1"/>
      <c r="Y96" s="1"/>
      <c r="Z96" s="1"/>
      <c r="AA96" s="1"/>
      <c r="AB96" s="1"/>
      <c r="AC96" s="1"/>
      <c r="AD96" s="1"/>
      <c r="AE96" s="1"/>
      <c r="AF96" s="1"/>
      <c r="AG96" s="1"/>
      <c r="AH96" s="51"/>
      <c r="AM96" s="202" t="s">
        <v>148</v>
      </c>
      <c r="AN96" s="163"/>
      <c r="AO96" s="163"/>
      <c r="AP96" s="163"/>
      <c r="AQ96" s="163"/>
      <c r="AR96" s="163"/>
      <c r="AS96" s="163"/>
      <c r="AT96" s="163"/>
      <c r="AU96" s="164"/>
      <c r="AV96" s="585">
        <f>IF(AV95=0,0,(AV95-2000)*0.06)</f>
        <v>0</v>
      </c>
      <c r="AW96" s="585"/>
      <c r="AX96" s="585"/>
      <c r="AY96" s="585"/>
      <c r="AZ96" s="586"/>
      <c r="BA96" s="49"/>
      <c r="BB96" s="49"/>
    </row>
    <row r="97" spans="3:54" ht="18" customHeight="1" thickBo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51"/>
      <c r="AM97" s="205" t="s">
        <v>149</v>
      </c>
      <c r="AN97" s="165"/>
      <c r="AO97" s="165"/>
      <c r="AP97" s="165"/>
      <c r="AQ97" s="165"/>
      <c r="AR97" s="165"/>
      <c r="AS97" s="165"/>
      <c r="AT97" s="165"/>
      <c r="AU97" s="166"/>
      <c r="AV97" s="384">
        <f>IF(AV95=0,0,(AV95-2000)*0.04)</f>
        <v>0</v>
      </c>
      <c r="AW97" s="385"/>
      <c r="AX97" s="385"/>
      <c r="AY97" s="385"/>
      <c r="AZ97" s="386"/>
      <c r="BA97" s="49"/>
      <c r="BB97" s="49"/>
    </row>
    <row r="98" spans="3:66" ht="18" customHeight="1" thickTop="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51"/>
      <c r="AM98" s="167" t="s">
        <v>146</v>
      </c>
      <c r="AN98" s="168"/>
      <c r="AO98" s="168"/>
      <c r="AP98" s="168"/>
      <c r="AQ98" s="168"/>
      <c r="AR98" s="168"/>
      <c r="AS98" s="168"/>
      <c r="AT98" s="168"/>
      <c r="AU98" s="168"/>
      <c r="AV98" s="168"/>
      <c r="AW98" s="168"/>
      <c r="AX98" s="168"/>
      <c r="AY98" s="168"/>
      <c r="AZ98" s="169"/>
      <c r="BA98" s="220"/>
      <c r="BB98" s="213"/>
      <c r="BC98" s="213"/>
      <c r="BD98" s="213"/>
      <c r="BE98" s="213"/>
      <c r="BF98" s="213"/>
      <c r="BG98" s="213"/>
      <c r="BH98" s="213"/>
      <c r="BI98" s="213"/>
      <c r="BJ98" s="213"/>
      <c r="BK98" s="213"/>
      <c r="BL98" s="213"/>
      <c r="BM98" s="213"/>
      <c r="BN98" s="213"/>
    </row>
    <row r="99" spans="3:66" ht="18"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51"/>
      <c r="AM99" s="59" t="s">
        <v>139</v>
      </c>
      <c r="AN99" s="154" t="s">
        <v>137</v>
      </c>
      <c r="AO99" s="154"/>
      <c r="AP99" s="154"/>
      <c r="AQ99" s="154"/>
      <c r="AR99" s="154"/>
      <c r="AS99" s="154"/>
      <c r="AT99" s="154"/>
      <c r="AU99" s="155"/>
      <c r="AV99" s="343">
        <f>X71</f>
        <v>0</v>
      </c>
      <c r="AW99" s="343"/>
      <c r="AX99" s="343"/>
      <c r="AY99" s="343"/>
      <c r="AZ99" s="344"/>
      <c r="BA99" s="101"/>
      <c r="BB99" s="214"/>
      <c r="BC99" s="214"/>
      <c r="BD99" s="214"/>
      <c r="BE99" s="214"/>
      <c r="BF99" s="214"/>
      <c r="BG99" s="214"/>
      <c r="BH99" s="214"/>
      <c r="BI99" s="214"/>
      <c r="BJ99" s="261"/>
      <c r="BK99" s="261"/>
      <c r="BL99" s="261"/>
      <c r="BM99" s="261"/>
      <c r="BN99" s="261"/>
    </row>
    <row r="100" spans="3:66" ht="18"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51"/>
      <c r="AM100" s="101" t="s">
        <v>131</v>
      </c>
      <c r="AN100" s="203" t="s">
        <v>194</v>
      </c>
      <c r="AO100" s="130"/>
      <c r="AP100" s="130"/>
      <c r="AQ100" s="130"/>
      <c r="AR100" s="130"/>
      <c r="AS100" s="130"/>
      <c r="AT100" s="130"/>
      <c r="AU100" s="131"/>
      <c r="AV100" s="308">
        <f>AB84-AS79</f>
        <v>-50000</v>
      </c>
      <c r="AW100" s="309"/>
      <c r="AX100" s="309"/>
      <c r="AY100" s="309"/>
      <c r="AZ100" s="310"/>
      <c r="BA100" s="101"/>
      <c r="BB100" s="215"/>
      <c r="BC100" s="216"/>
      <c r="BD100" s="216"/>
      <c r="BE100" s="216"/>
      <c r="BF100" s="216"/>
      <c r="BG100" s="216"/>
      <c r="BH100" s="216"/>
      <c r="BI100" s="216"/>
      <c r="BJ100" s="262"/>
      <c r="BK100" s="262"/>
      <c r="BL100" s="262"/>
      <c r="BM100" s="262"/>
      <c r="BN100" s="262"/>
    </row>
    <row r="101" spans="3:66" ht="18"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51"/>
      <c r="AM101" s="44" t="s">
        <v>195</v>
      </c>
      <c r="AN101" s="204" t="s">
        <v>196</v>
      </c>
      <c r="AO101" s="177"/>
      <c r="AP101" s="177"/>
      <c r="AQ101" s="177"/>
      <c r="AR101" s="177"/>
      <c r="AS101" s="177"/>
      <c r="AT101" s="177"/>
      <c r="AU101" s="178"/>
      <c r="AV101" s="326">
        <f>IF(AV100&lt;=1950000,0.84895,IF(AV100&lt;=3300000,0.7979,IF(AV100&lt;=6950000,0.6958,IF(AV100&lt;=9000000,0.66517,IF(AV100&lt;=18000000,0.56307,IF(AV100&lt;=40000000,0.4916,IF(40000000&lt;AV100,0.44055,0)))))))</f>
        <v>0.84895</v>
      </c>
      <c r="AW101" s="327"/>
      <c r="AX101" s="327"/>
      <c r="AY101" s="327"/>
      <c r="AZ101" s="328"/>
      <c r="BA101" s="101"/>
      <c r="BB101" s="215"/>
      <c r="BC101" s="216"/>
      <c r="BD101" s="216"/>
      <c r="BE101" s="216"/>
      <c r="BF101" s="216"/>
      <c r="BG101" s="216"/>
      <c r="BH101" s="216"/>
      <c r="BI101" s="216"/>
      <c r="BJ101" s="263"/>
      <c r="BK101" s="263"/>
      <c r="BL101" s="263"/>
      <c r="BM101" s="263"/>
      <c r="BN101" s="263"/>
    </row>
    <row r="102" spans="3:67" ht="18"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51"/>
      <c r="AJ102" s="89"/>
      <c r="AM102" s="45" t="s">
        <v>143</v>
      </c>
      <c r="AN102" s="154" t="s">
        <v>198</v>
      </c>
      <c r="AO102" s="152"/>
      <c r="AP102" s="152"/>
      <c r="AQ102" s="152"/>
      <c r="AR102" s="152"/>
      <c r="AS102" s="152"/>
      <c r="AT102" s="152"/>
      <c r="AU102" s="153"/>
      <c r="AV102" s="302">
        <f>(AV99-2000)*AV101*0.6</f>
        <v>-1018.7399999999999</v>
      </c>
      <c r="AW102" s="266"/>
      <c r="AX102" s="266"/>
      <c r="AY102" s="266"/>
      <c r="AZ102" s="267"/>
      <c r="BA102" s="101"/>
      <c r="BB102" s="214"/>
      <c r="BC102" s="217"/>
      <c r="BD102" s="217"/>
      <c r="BE102" s="217"/>
      <c r="BF102" s="217"/>
      <c r="BG102" s="217"/>
      <c r="BH102" s="217"/>
      <c r="BI102" s="217"/>
      <c r="BJ102" s="264"/>
      <c r="BK102" s="264"/>
      <c r="BL102" s="264"/>
      <c r="BM102" s="264"/>
      <c r="BN102" s="264"/>
      <c r="BO102" s="49"/>
    </row>
    <row r="103" spans="3:67" ht="18" customHeight="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J103" s="89"/>
      <c r="AM103" s="45" t="s">
        <v>144</v>
      </c>
      <c r="AN103" s="158" t="s">
        <v>199</v>
      </c>
      <c r="AO103" s="171"/>
      <c r="AP103" s="171"/>
      <c r="AQ103" s="171"/>
      <c r="AR103" s="171"/>
      <c r="AS103" s="171"/>
      <c r="AT103" s="171"/>
      <c r="AU103" s="172"/>
      <c r="AV103" s="587">
        <f>(AV99-2000)*AV101*0.4</f>
        <v>-679.16</v>
      </c>
      <c r="AW103" s="587"/>
      <c r="AX103" s="587"/>
      <c r="AY103" s="587"/>
      <c r="AZ103" s="588"/>
      <c r="BA103" s="101"/>
      <c r="BB103" s="214"/>
      <c r="BC103" s="217"/>
      <c r="BD103" s="217"/>
      <c r="BE103" s="217"/>
      <c r="BF103" s="217"/>
      <c r="BG103" s="217"/>
      <c r="BH103" s="217"/>
      <c r="BI103" s="217"/>
      <c r="BJ103" s="264"/>
      <c r="BK103" s="264"/>
      <c r="BL103" s="264"/>
      <c r="BM103" s="264"/>
      <c r="BN103" s="264"/>
      <c r="BO103" s="49"/>
    </row>
    <row r="104" spans="3:67" ht="18" customHeight="1" thickBot="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M104" s="43" t="s">
        <v>147</v>
      </c>
      <c r="AN104" s="158" t="s">
        <v>204</v>
      </c>
      <c r="AO104" s="158"/>
      <c r="AP104" s="158"/>
      <c r="AQ104" s="158"/>
      <c r="AR104" s="158"/>
      <c r="AS104" s="158"/>
      <c r="AT104" s="158"/>
      <c r="AU104" s="159"/>
      <c r="AV104" s="300">
        <f>(P86-P87)*0.2</f>
        <v>0</v>
      </c>
      <c r="AW104" s="300"/>
      <c r="AX104" s="300"/>
      <c r="AY104" s="300"/>
      <c r="AZ104" s="301"/>
      <c r="BA104" s="218"/>
      <c r="BB104" s="219"/>
      <c r="BC104" s="219"/>
      <c r="BD104" s="219"/>
      <c r="BE104" s="219"/>
      <c r="BF104" s="219"/>
      <c r="BG104" s="219"/>
      <c r="BH104" s="219"/>
      <c r="BI104" s="219"/>
      <c r="BJ104" s="265"/>
      <c r="BK104" s="265"/>
      <c r="BL104" s="265"/>
      <c r="BM104" s="265"/>
      <c r="BN104" s="265"/>
      <c r="BO104" s="49"/>
    </row>
    <row r="105" spans="3:67" ht="18" customHeight="1" thickTop="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51"/>
      <c r="AM105" s="46" t="s">
        <v>197</v>
      </c>
      <c r="AN105" s="156" t="s">
        <v>205</v>
      </c>
      <c r="AO105" s="156"/>
      <c r="AP105" s="156"/>
      <c r="AQ105" s="156"/>
      <c r="AR105" s="156"/>
      <c r="AS105" s="156"/>
      <c r="AT105" s="156"/>
      <c r="AU105" s="157"/>
      <c r="AV105" s="300">
        <f>(V86-V87)*0.2</f>
        <v>0</v>
      </c>
      <c r="AW105" s="300"/>
      <c r="AX105" s="300"/>
      <c r="AY105" s="300"/>
      <c r="AZ105" s="301"/>
      <c r="BA105" s="167" t="s">
        <v>229</v>
      </c>
      <c r="BB105" s="168"/>
      <c r="BC105" s="168"/>
      <c r="BD105" s="168"/>
      <c r="BE105" s="168"/>
      <c r="BF105" s="168"/>
      <c r="BG105" s="168"/>
      <c r="BH105" s="168"/>
      <c r="BI105" s="168"/>
      <c r="BJ105" s="168"/>
      <c r="BK105" s="168"/>
      <c r="BL105" s="168"/>
      <c r="BM105" s="168"/>
      <c r="BN105" s="169"/>
      <c r="BO105" s="49"/>
    </row>
    <row r="106" spans="3:66" ht="18"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51"/>
      <c r="AM106" s="209" t="s">
        <v>200</v>
      </c>
      <c r="AN106" s="163"/>
      <c r="AO106" s="163"/>
      <c r="AP106" s="163"/>
      <c r="AQ106" s="163"/>
      <c r="AR106" s="163"/>
      <c r="AS106" s="163"/>
      <c r="AT106" s="163"/>
      <c r="AU106" s="164"/>
      <c r="AV106" s="266">
        <f>IF(AV102&gt;AV104,AV104,AV102)</f>
        <v>-1018.7399999999999</v>
      </c>
      <c r="AW106" s="266"/>
      <c r="AX106" s="266"/>
      <c r="AY106" s="266"/>
      <c r="AZ106" s="267"/>
      <c r="BA106" s="209" t="s">
        <v>230</v>
      </c>
      <c r="BB106" s="163"/>
      <c r="BC106" s="163"/>
      <c r="BD106" s="163"/>
      <c r="BE106" s="163"/>
      <c r="BF106" s="163"/>
      <c r="BG106" s="163"/>
      <c r="BH106" s="163"/>
      <c r="BI106" s="164"/>
      <c r="BJ106" s="266">
        <f>ROUNDUP(AV106,0)*(0.9-AV101)/AV101</f>
        <v>-61.27563460745631</v>
      </c>
      <c r="BK106" s="266"/>
      <c r="BL106" s="266"/>
      <c r="BM106" s="266"/>
      <c r="BN106" s="267"/>
    </row>
    <row r="107" spans="3:66" ht="18" customHeight="1" thickBo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51"/>
      <c r="AM107" s="205" t="s">
        <v>201</v>
      </c>
      <c r="AN107" s="165"/>
      <c r="AO107" s="165"/>
      <c r="AP107" s="165"/>
      <c r="AQ107" s="165"/>
      <c r="AR107" s="165"/>
      <c r="AS107" s="165"/>
      <c r="AT107" s="165"/>
      <c r="AU107" s="166"/>
      <c r="AV107" s="269">
        <f>IF(AV103&gt;AV105,AV105,AV103)</f>
        <v>-679.16</v>
      </c>
      <c r="AW107" s="269"/>
      <c r="AX107" s="269"/>
      <c r="AY107" s="269"/>
      <c r="AZ107" s="270"/>
      <c r="BA107" s="205" t="s">
        <v>231</v>
      </c>
      <c r="BB107" s="165"/>
      <c r="BC107" s="165"/>
      <c r="BD107" s="165"/>
      <c r="BE107" s="165"/>
      <c r="BF107" s="165"/>
      <c r="BG107" s="165"/>
      <c r="BH107" s="165"/>
      <c r="BI107" s="166"/>
      <c r="BJ107" s="268">
        <f>ROUNDUP(AV107,0)*(0.9-AV101)/AV101</f>
        <v>-40.8905118087049</v>
      </c>
      <c r="BK107" s="269"/>
      <c r="BL107" s="269"/>
      <c r="BM107" s="269"/>
      <c r="BN107" s="270"/>
    </row>
    <row r="108" spans="3:66" ht="18" customHeight="1" thickTop="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51"/>
      <c r="AM108" s="195" t="s">
        <v>150</v>
      </c>
      <c r="AN108" s="120"/>
      <c r="AO108" s="120"/>
      <c r="AP108" s="120"/>
      <c r="AQ108" s="120"/>
      <c r="AR108" s="120"/>
      <c r="AS108" s="120"/>
      <c r="AT108" s="120"/>
      <c r="AU108" s="120"/>
      <c r="AV108" s="120"/>
      <c r="AW108" s="120"/>
      <c r="AX108" s="120"/>
      <c r="AY108" s="120"/>
      <c r="AZ108" s="121"/>
      <c r="BA108" s="195" t="s">
        <v>228</v>
      </c>
      <c r="BB108" s="194"/>
      <c r="BC108" s="194"/>
      <c r="BD108" s="194"/>
      <c r="BE108" s="194"/>
      <c r="BF108" s="194"/>
      <c r="BG108" s="194"/>
      <c r="BH108" s="194"/>
      <c r="BI108" s="194"/>
      <c r="BJ108" s="194"/>
      <c r="BK108" s="194"/>
      <c r="BL108" s="194"/>
      <c r="BM108" s="194"/>
      <c r="BN108" s="121"/>
    </row>
    <row r="109" spans="3:70" ht="18"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51"/>
      <c r="AM109" s="210" t="s">
        <v>152</v>
      </c>
      <c r="AN109" s="122"/>
      <c r="AO109" s="122"/>
      <c r="AP109" s="122"/>
      <c r="AQ109" s="122"/>
      <c r="AR109" s="122"/>
      <c r="AS109" s="122"/>
      <c r="AT109" s="122"/>
      <c r="AU109" s="123"/>
      <c r="AV109" s="287">
        <f>IF(AV99=0,ROUNDUP(AV96,0),ROUNDUP(AV96+AV106,0))</f>
        <v>0</v>
      </c>
      <c r="AW109" s="288"/>
      <c r="AX109" s="288"/>
      <c r="AY109" s="288"/>
      <c r="AZ109" s="289"/>
      <c r="BA109" s="281" t="s">
        <v>241</v>
      </c>
      <c r="BB109" s="282"/>
      <c r="BC109" s="282"/>
      <c r="BD109" s="282"/>
      <c r="BE109" s="282"/>
      <c r="BF109" s="282"/>
      <c r="BG109" s="282"/>
      <c r="BH109" s="282"/>
      <c r="BI109" s="283"/>
      <c r="BJ109" s="287">
        <f>IF(AV99=0,ROUNDUP(AV96,0),ROUNDUP(AV96+AV106,0)+ROUNDUP(BJ106,0))</f>
        <v>0</v>
      </c>
      <c r="BK109" s="288"/>
      <c r="BL109" s="288"/>
      <c r="BM109" s="288"/>
      <c r="BN109" s="289"/>
      <c r="BO109" s="337" t="s">
        <v>159</v>
      </c>
      <c r="BP109" s="342"/>
      <c r="BQ109" s="342"/>
      <c r="BR109" s="342"/>
    </row>
    <row r="110" spans="3:70" ht="18" customHeight="1" thickBo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51"/>
      <c r="AM110" s="24" t="s">
        <v>153</v>
      </c>
      <c r="AN110" s="147"/>
      <c r="AO110" s="147"/>
      <c r="AP110" s="147"/>
      <c r="AQ110" s="147"/>
      <c r="AR110" s="147"/>
      <c r="AS110" s="147"/>
      <c r="AT110" s="147"/>
      <c r="AU110" s="148"/>
      <c r="AV110" s="258">
        <f>IF(AV99=0,ROUNDUP(AV97,0),ROUNDUP(AV97+AV107,0))</f>
        <v>0</v>
      </c>
      <c r="AW110" s="259"/>
      <c r="AX110" s="259"/>
      <c r="AY110" s="259"/>
      <c r="AZ110" s="260"/>
      <c r="BA110" s="284" t="s">
        <v>242</v>
      </c>
      <c r="BB110" s="285"/>
      <c r="BC110" s="285"/>
      <c r="BD110" s="285"/>
      <c r="BE110" s="285"/>
      <c r="BF110" s="285"/>
      <c r="BG110" s="285"/>
      <c r="BH110" s="285"/>
      <c r="BI110" s="286"/>
      <c r="BJ110" s="258">
        <f>IF(AV99=0,ROUNDUP(AV97,0),ROUNDUP(AV97+AV107,0)+ROUNDUP(BJ107,0))</f>
        <v>0</v>
      </c>
      <c r="BK110" s="259"/>
      <c r="BL110" s="259"/>
      <c r="BM110" s="259"/>
      <c r="BN110" s="260"/>
      <c r="BO110" s="337" t="s">
        <v>159</v>
      </c>
      <c r="BP110" s="342"/>
      <c r="BQ110" s="342"/>
      <c r="BR110" s="342"/>
    </row>
    <row r="111" spans="3:66" ht="18" customHeight="1" thickTop="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51"/>
      <c r="AM111" s="195" t="s">
        <v>234</v>
      </c>
      <c r="AN111" s="194"/>
      <c r="AO111" s="194"/>
      <c r="AP111" s="194"/>
      <c r="AQ111" s="194"/>
      <c r="AR111" s="194"/>
      <c r="AS111" s="194"/>
      <c r="AT111" s="194"/>
      <c r="AU111" s="194"/>
      <c r="AV111" s="194"/>
      <c r="AW111" s="194"/>
      <c r="AX111" s="194"/>
      <c r="AY111" s="194"/>
      <c r="AZ111" s="121"/>
      <c r="BA111" s="225"/>
      <c r="BB111" s="226"/>
      <c r="BC111" s="226"/>
      <c r="BD111" s="226"/>
      <c r="BE111" s="226"/>
      <c r="BF111" s="226"/>
      <c r="BG111" s="226"/>
      <c r="BH111" s="226"/>
      <c r="BI111" s="226"/>
      <c r="BJ111" s="227"/>
      <c r="BK111" s="227"/>
      <c r="BL111" s="227"/>
      <c r="BM111" s="227"/>
      <c r="BN111" s="227"/>
    </row>
    <row r="112" spans="3:66" ht="18"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51"/>
      <c r="AM112" s="210" t="s">
        <v>230</v>
      </c>
      <c r="AN112" s="201"/>
      <c r="AO112" s="201"/>
      <c r="AP112" s="201"/>
      <c r="AQ112" s="201"/>
      <c r="AR112" s="201"/>
      <c r="AS112" s="201"/>
      <c r="AT112" s="201"/>
      <c r="AU112" s="123"/>
      <c r="AV112" s="287">
        <f>IF(X72=BD94,BJ109,AV109)</f>
        <v>0</v>
      </c>
      <c r="AW112" s="288"/>
      <c r="AX112" s="288"/>
      <c r="AY112" s="288"/>
      <c r="AZ112" s="289"/>
      <c r="BA112" s="225"/>
      <c r="BB112" s="226"/>
      <c r="BC112" s="226"/>
      <c r="BD112" s="226"/>
      <c r="BE112" s="226"/>
      <c r="BF112" s="226"/>
      <c r="BG112" s="226"/>
      <c r="BH112" s="226"/>
      <c r="BI112" s="226"/>
      <c r="BJ112" s="227"/>
      <c r="BK112" s="227"/>
      <c r="BL112" s="227"/>
      <c r="BM112" s="227"/>
      <c r="BN112" s="227"/>
    </row>
    <row r="113" spans="3:66" ht="18" customHeight="1" thickBo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51"/>
      <c r="AM113" s="24" t="s">
        <v>231</v>
      </c>
      <c r="AN113" s="197"/>
      <c r="AO113" s="197"/>
      <c r="AP113" s="197"/>
      <c r="AQ113" s="197"/>
      <c r="AR113" s="197"/>
      <c r="AS113" s="197"/>
      <c r="AT113" s="197"/>
      <c r="AU113" s="198"/>
      <c r="AV113" s="258">
        <f>IF(X72=BD94,BJ110,AV110)</f>
        <v>0</v>
      </c>
      <c r="AW113" s="259"/>
      <c r="AX113" s="259"/>
      <c r="AY113" s="259"/>
      <c r="AZ113" s="260"/>
      <c r="BA113" s="225"/>
      <c r="BB113" s="226"/>
      <c r="BC113" s="226"/>
      <c r="BD113" s="226"/>
      <c r="BE113" s="226"/>
      <c r="BF113" s="226"/>
      <c r="BG113" s="226"/>
      <c r="BH113" s="226"/>
      <c r="BI113" s="226"/>
      <c r="BJ113" s="227"/>
      <c r="BK113" s="227"/>
      <c r="BL113" s="227"/>
      <c r="BM113" s="227"/>
      <c r="BN113" s="227"/>
    </row>
    <row r="114" spans="3:34" ht="18" customHeight="1" thickBo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51"/>
    </row>
    <row r="115" spans="3:60" ht="18" customHeight="1" thickBo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51"/>
      <c r="AM115" s="206" t="s">
        <v>155</v>
      </c>
      <c r="AN115" s="140"/>
      <c r="AO115" s="140"/>
      <c r="AP115" s="140"/>
      <c r="AQ115" s="140"/>
      <c r="AR115" s="140"/>
      <c r="AS115" s="140"/>
      <c r="AT115" s="140"/>
      <c r="AU115" s="140"/>
      <c r="AV115" s="140"/>
      <c r="AW115" s="140"/>
      <c r="AX115" s="140"/>
      <c r="AY115" s="140"/>
      <c r="AZ115" s="141"/>
      <c r="BB115" s="401" t="s">
        <v>239</v>
      </c>
      <c r="BC115" s="402"/>
      <c r="BD115" s="403"/>
      <c r="BF115" s="401" t="s">
        <v>226</v>
      </c>
      <c r="BG115" s="402"/>
      <c r="BH115" s="403"/>
    </row>
    <row r="116" spans="3:60" ht="18" customHeight="1" thickTop="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M116" s="58" t="s">
        <v>92</v>
      </c>
      <c r="AN116" s="142" t="s">
        <v>156</v>
      </c>
      <c r="AO116" s="142"/>
      <c r="AP116" s="142"/>
      <c r="AQ116" s="142"/>
      <c r="AR116" s="142"/>
      <c r="AS116" s="142"/>
      <c r="AT116" s="142"/>
      <c r="AU116" s="143"/>
      <c r="AV116" s="382">
        <f>AM60+1</f>
        <v>1</v>
      </c>
      <c r="AW116" s="382"/>
      <c r="AX116" s="382"/>
      <c r="AY116" s="382"/>
      <c r="AZ116" s="383"/>
      <c r="BB116" s="404">
        <f>IF(T50="",0,1)</f>
        <v>0</v>
      </c>
      <c r="BC116" s="405"/>
      <c r="BD116" s="406"/>
      <c r="BF116" s="610">
        <f>IF(T52="",0,IF(AA22&lt;=9000000,IF(T52&lt;=850000,1,0),0))</f>
        <v>0</v>
      </c>
      <c r="BG116" s="611"/>
      <c r="BH116" s="612"/>
    </row>
    <row r="117" spans="39:52" ht="18" customHeight="1">
      <c r="AM117" s="48" t="s">
        <v>131</v>
      </c>
      <c r="AN117" s="125" t="s">
        <v>163</v>
      </c>
      <c r="AO117" s="125"/>
      <c r="AP117" s="125"/>
      <c r="AQ117" s="125"/>
      <c r="AR117" s="125"/>
      <c r="AS117" s="125"/>
      <c r="AT117" s="125"/>
      <c r="AU117" s="170"/>
      <c r="AV117" s="288">
        <f>IF(AV116=1,350000,350000*AV116+320000)</f>
        <v>350000</v>
      </c>
      <c r="AW117" s="288"/>
      <c r="AX117" s="288"/>
      <c r="AY117" s="288"/>
      <c r="AZ117" s="289"/>
    </row>
    <row r="118" spans="39:52" ht="18" customHeight="1">
      <c r="AM118" s="48" t="s">
        <v>136</v>
      </c>
      <c r="AN118" s="125" t="s">
        <v>157</v>
      </c>
      <c r="AO118" s="125"/>
      <c r="AP118" s="125"/>
      <c r="AQ118" s="125"/>
      <c r="AR118" s="125"/>
      <c r="AS118" s="125"/>
      <c r="AT118" s="125"/>
      <c r="AU118" s="170"/>
      <c r="AV118" s="288">
        <f>AB82</f>
        <v>0</v>
      </c>
      <c r="AW118" s="288"/>
      <c r="AX118" s="288"/>
      <c r="AY118" s="288"/>
      <c r="AZ118" s="289"/>
    </row>
    <row r="119" spans="39:52" ht="18" customHeight="1">
      <c r="AM119" s="47" t="s">
        <v>143</v>
      </c>
      <c r="AN119" s="125" t="s">
        <v>192</v>
      </c>
      <c r="AO119" s="125"/>
      <c r="AP119" s="125"/>
      <c r="AQ119" s="125"/>
      <c r="AR119" s="125"/>
      <c r="AS119" s="125"/>
      <c r="AT119" s="125"/>
      <c r="AU119" s="170"/>
      <c r="AV119" s="340">
        <f>AB86-AB87-AB88</f>
        <v>0</v>
      </c>
      <c r="AW119" s="340"/>
      <c r="AX119" s="340"/>
      <c r="AY119" s="340"/>
      <c r="AZ119" s="341"/>
    </row>
    <row r="120" spans="39:56" ht="18" customHeight="1">
      <c r="AM120" s="391" t="s">
        <v>158</v>
      </c>
      <c r="AN120" s="207" t="s">
        <v>160</v>
      </c>
      <c r="AO120" s="134"/>
      <c r="AP120" s="134"/>
      <c r="AQ120" s="134"/>
      <c r="AR120" s="134"/>
      <c r="AS120" s="134"/>
      <c r="AT120" s="134"/>
      <c r="AU120" s="135"/>
      <c r="AV120" s="340">
        <f>ROUNDUP((AV117-(AV118-AV119))*0.6,0)</f>
        <v>210000</v>
      </c>
      <c r="AW120" s="340"/>
      <c r="AX120" s="340"/>
      <c r="AY120" s="340"/>
      <c r="AZ120" s="341"/>
      <c r="BA120" s="337" t="s">
        <v>193</v>
      </c>
      <c r="BB120" s="338"/>
      <c r="BC120" s="338"/>
      <c r="BD120" s="338"/>
    </row>
    <row r="121" spans="39:56" ht="18" customHeight="1" thickBot="1">
      <c r="AM121" s="392"/>
      <c r="AN121" s="208" t="s">
        <v>161</v>
      </c>
      <c r="AO121" s="136"/>
      <c r="AP121" s="136"/>
      <c r="AQ121" s="136"/>
      <c r="AR121" s="136"/>
      <c r="AS121" s="136"/>
      <c r="AT121" s="136"/>
      <c r="AU121" s="137"/>
      <c r="AV121" s="387">
        <f>ROUNDUP((AV117-(AV118-AV119))*0.4,0)</f>
        <v>140000</v>
      </c>
      <c r="AW121" s="387"/>
      <c r="AX121" s="387"/>
      <c r="AY121" s="387"/>
      <c r="AZ121" s="388"/>
      <c r="BA121" s="337" t="s">
        <v>193</v>
      </c>
      <c r="BB121" s="338"/>
      <c r="BC121" s="338"/>
      <c r="BD121" s="338"/>
    </row>
    <row r="122" ht="18" customHeight="1" thickBot="1">
      <c r="AM122" s="61"/>
    </row>
    <row r="123" spans="36:60" ht="18" customHeight="1" thickBot="1">
      <c r="AJ123" s="89"/>
      <c r="AK123" s="89"/>
      <c r="AM123" s="206" t="s">
        <v>164</v>
      </c>
      <c r="AN123" s="140"/>
      <c r="AO123" s="140"/>
      <c r="AP123" s="140"/>
      <c r="AQ123" s="140"/>
      <c r="AR123" s="140"/>
      <c r="AS123" s="140"/>
      <c r="AT123" s="140"/>
      <c r="AU123" s="140"/>
      <c r="AV123" s="140"/>
      <c r="AW123" s="140"/>
      <c r="AX123" s="140"/>
      <c r="AY123" s="140"/>
      <c r="AZ123" s="141"/>
      <c r="BB123" s="401" t="s">
        <v>239</v>
      </c>
      <c r="BC123" s="402"/>
      <c r="BD123" s="403"/>
      <c r="BF123" s="401" t="s">
        <v>226</v>
      </c>
      <c r="BG123" s="402"/>
      <c r="BH123" s="403"/>
    </row>
    <row r="124" spans="39:60" ht="18" customHeight="1" thickTop="1">
      <c r="AM124" s="193" t="s">
        <v>92</v>
      </c>
      <c r="AN124" s="142" t="s">
        <v>156</v>
      </c>
      <c r="AO124" s="142"/>
      <c r="AP124" s="142"/>
      <c r="AQ124" s="142"/>
      <c r="AR124" s="142"/>
      <c r="AS124" s="142"/>
      <c r="AT124" s="142"/>
      <c r="AU124" s="143"/>
      <c r="AV124" s="382">
        <f>AM60+1</f>
        <v>1</v>
      </c>
      <c r="AW124" s="382"/>
      <c r="AX124" s="382"/>
      <c r="AY124" s="382"/>
      <c r="AZ124" s="383"/>
      <c r="BB124" s="404">
        <f>IF(T50="",0,1)</f>
        <v>0</v>
      </c>
      <c r="BC124" s="405"/>
      <c r="BD124" s="406"/>
      <c r="BF124" s="610">
        <f>IF(T52="",0,IF(AA22&lt;=9000000,IF(T52&lt;=850000,1,0),0))</f>
        <v>0</v>
      </c>
      <c r="BG124" s="611"/>
      <c r="BH124" s="612"/>
    </row>
    <row r="125" spans="39:52" ht="18" customHeight="1">
      <c r="AM125" s="200" t="s">
        <v>131</v>
      </c>
      <c r="AN125" s="138" t="s">
        <v>162</v>
      </c>
      <c r="AO125" s="138"/>
      <c r="AP125" s="138"/>
      <c r="AQ125" s="138"/>
      <c r="AR125" s="138"/>
      <c r="AS125" s="138"/>
      <c r="AT125" s="138"/>
      <c r="AU125" s="139"/>
      <c r="AV125" s="339">
        <f>IF(AV124=1,315000,315000*AV124+189000)</f>
        <v>315000</v>
      </c>
      <c r="AW125" s="340"/>
      <c r="AX125" s="340"/>
      <c r="AY125" s="340"/>
      <c r="AZ125" s="341"/>
    </row>
    <row r="126" spans="39:52" ht="18" customHeight="1">
      <c r="AM126" s="199" t="s">
        <v>165</v>
      </c>
      <c r="AN126" s="132" t="s">
        <v>166</v>
      </c>
      <c r="AO126" s="132"/>
      <c r="AP126" s="132"/>
      <c r="AQ126" s="132"/>
      <c r="AR126" s="132"/>
      <c r="AS126" s="132"/>
      <c r="AT126" s="132"/>
      <c r="AU126" s="133"/>
      <c r="AV126" s="308">
        <f>IF(AND(T44="",T46="",T47=""),0,1250000)</f>
        <v>0</v>
      </c>
      <c r="AW126" s="309"/>
      <c r="AX126" s="309"/>
      <c r="AY126" s="309"/>
      <c r="AZ126" s="310"/>
    </row>
    <row r="127" spans="39:52" ht="18" customHeight="1">
      <c r="AM127" s="211" t="s">
        <v>168</v>
      </c>
      <c r="AN127" s="179"/>
      <c r="AO127" s="179"/>
      <c r="AP127" s="179"/>
      <c r="AQ127" s="179"/>
      <c r="AR127" s="179"/>
      <c r="AS127" s="179"/>
      <c r="AT127" s="179"/>
      <c r="AU127" s="180"/>
      <c r="AV127" s="371">
        <f>MAX(AV125,AV126)</f>
        <v>315000</v>
      </c>
      <c r="AW127" s="372"/>
      <c r="AX127" s="372"/>
      <c r="AY127" s="372"/>
      <c r="AZ127" s="373"/>
    </row>
    <row r="128" spans="39:52" ht="18" customHeight="1">
      <c r="AM128" s="200" t="s">
        <v>167</v>
      </c>
      <c r="AN128" s="138" t="s">
        <v>163</v>
      </c>
      <c r="AO128" s="138"/>
      <c r="AP128" s="138"/>
      <c r="AQ128" s="138"/>
      <c r="AR128" s="138"/>
      <c r="AS128" s="138"/>
      <c r="AT128" s="138"/>
      <c r="AU128" s="139"/>
      <c r="AV128" s="339">
        <f>IF(AV124=1,350000,350000*AV124+320000)</f>
        <v>350000</v>
      </c>
      <c r="AW128" s="340"/>
      <c r="AX128" s="340"/>
      <c r="AY128" s="340"/>
      <c r="AZ128" s="341"/>
    </row>
    <row r="129" spans="39:52" ht="18" customHeight="1">
      <c r="AM129" s="199" t="s">
        <v>144</v>
      </c>
      <c r="AN129" s="132" t="s">
        <v>166</v>
      </c>
      <c r="AO129" s="132"/>
      <c r="AP129" s="132"/>
      <c r="AQ129" s="132"/>
      <c r="AR129" s="132"/>
      <c r="AS129" s="132"/>
      <c r="AT129" s="132"/>
      <c r="AU129" s="133"/>
      <c r="AV129" s="308">
        <f>IF(AND(T44="",T46="",T47=""),0,1250000)</f>
        <v>0</v>
      </c>
      <c r="AW129" s="309"/>
      <c r="AX129" s="309"/>
      <c r="AY129" s="309"/>
      <c r="AZ129" s="310"/>
    </row>
    <row r="130" spans="39:52" ht="18" customHeight="1" thickBot="1">
      <c r="AM130" s="212" t="s">
        <v>169</v>
      </c>
      <c r="AN130" s="181"/>
      <c r="AO130" s="181"/>
      <c r="AP130" s="181"/>
      <c r="AQ130" s="181"/>
      <c r="AR130" s="181"/>
      <c r="AS130" s="181"/>
      <c r="AT130" s="181"/>
      <c r="AU130" s="182"/>
      <c r="AV130" s="407">
        <f>MAX(AV128,AV129)</f>
        <v>350000</v>
      </c>
      <c r="AW130" s="387"/>
      <c r="AX130" s="387"/>
      <c r="AY130" s="387"/>
      <c r="AZ130" s="388"/>
    </row>
  </sheetData>
  <sheetProtection password="EFE5" sheet="1" selectLockedCells="1"/>
  <mergeCells count="426">
    <mergeCell ref="AL71:AL72"/>
    <mergeCell ref="D76:J76"/>
    <mergeCell ref="K76:N76"/>
    <mergeCell ref="AY64:BB64"/>
    <mergeCell ref="X71:AE71"/>
    <mergeCell ref="C72:W72"/>
    <mergeCell ref="X72:AE72"/>
    <mergeCell ref="AF71:AG71"/>
    <mergeCell ref="AM62:AQ62"/>
    <mergeCell ref="AM61:AQ61"/>
    <mergeCell ref="AM76:AR76"/>
    <mergeCell ref="AM79:AR79"/>
    <mergeCell ref="AS66:AV66"/>
    <mergeCell ref="AS71:AV71"/>
    <mergeCell ref="AM65:AR65"/>
    <mergeCell ref="AS70:AV70"/>
    <mergeCell ref="AM70:AR70"/>
    <mergeCell ref="AM73:AR73"/>
    <mergeCell ref="BF116:BH116"/>
    <mergeCell ref="BF123:BH123"/>
    <mergeCell ref="BF124:BH124"/>
    <mergeCell ref="AH16:AI17"/>
    <mergeCell ref="AH29:AI30"/>
    <mergeCell ref="AH31:AI32"/>
    <mergeCell ref="AZ29:BC29"/>
    <mergeCell ref="AV30:AY30"/>
    <mergeCell ref="BF115:BH115"/>
    <mergeCell ref="AM66:AR66"/>
    <mergeCell ref="T32:Y32"/>
    <mergeCell ref="AV28:AY28"/>
    <mergeCell ref="AM26:AT26"/>
    <mergeCell ref="AQ30:AT30"/>
    <mergeCell ref="AQ28:AT28"/>
    <mergeCell ref="AQ29:AT29"/>
    <mergeCell ref="AV26:BC26"/>
    <mergeCell ref="AV27:AY27"/>
    <mergeCell ref="AZ27:BC27"/>
    <mergeCell ref="AZ28:BC28"/>
    <mergeCell ref="G29:M30"/>
    <mergeCell ref="AJ29:AJ31"/>
    <mergeCell ref="AL8:AL13"/>
    <mergeCell ref="AN8:AO8"/>
    <mergeCell ref="AG20:AG21"/>
    <mergeCell ref="AM22:AR22"/>
    <mergeCell ref="AL18:AL19"/>
    <mergeCell ref="AQ27:AT27"/>
    <mergeCell ref="N29:S29"/>
    <mergeCell ref="AA28:AF28"/>
    <mergeCell ref="AM14:AR14"/>
    <mergeCell ref="AM27:AP27"/>
    <mergeCell ref="AM28:AP28"/>
    <mergeCell ref="AM29:AP29"/>
    <mergeCell ref="AM23:AR23"/>
    <mergeCell ref="AZ30:BC30"/>
    <mergeCell ref="AV29:AY29"/>
    <mergeCell ref="AS23:AX23"/>
    <mergeCell ref="AS14:AX14"/>
    <mergeCell ref="B1:Q1"/>
    <mergeCell ref="R1:AF1"/>
    <mergeCell ref="AJ16:AJ17"/>
    <mergeCell ref="AJ18:AJ19"/>
    <mergeCell ref="AJ20:AJ21"/>
    <mergeCell ref="AL29:AL31"/>
    <mergeCell ref="G31:M32"/>
    <mergeCell ref="C10:D11"/>
    <mergeCell ref="E10:Z11"/>
    <mergeCell ref="AA31:AF32"/>
    <mergeCell ref="T29:Y29"/>
    <mergeCell ref="AG16:AG17"/>
    <mergeCell ref="AJ59:AJ60"/>
    <mergeCell ref="AG54:AG55"/>
    <mergeCell ref="AA54:AF55"/>
    <mergeCell ref="AA57:AF57"/>
    <mergeCell ref="T54:Y55"/>
    <mergeCell ref="E42:AG43"/>
    <mergeCell ref="T41:Y41"/>
    <mergeCell ref="N33:S33"/>
    <mergeCell ref="O36:S36"/>
    <mergeCell ref="K56:S56"/>
    <mergeCell ref="D44:S44"/>
    <mergeCell ref="AV55:BA55"/>
    <mergeCell ref="Z16:Z17"/>
    <mergeCell ref="K19:S19"/>
    <mergeCell ref="AG22:AG23"/>
    <mergeCell ref="AA18:AF19"/>
    <mergeCell ref="AG18:AG19"/>
    <mergeCell ref="AS22:AX22"/>
    <mergeCell ref="AA29:AF30"/>
    <mergeCell ref="AA26:AG27"/>
    <mergeCell ref="AA22:AF23"/>
    <mergeCell ref="AG31:AG32"/>
    <mergeCell ref="AA33:AF33"/>
    <mergeCell ref="AM24:AR24"/>
    <mergeCell ref="AM30:AP30"/>
    <mergeCell ref="AG29:AG30"/>
    <mergeCell ref="AG40:AG41"/>
    <mergeCell ref="AA53:AG53"/>
    <mergeCell ref="AM60:AQ60"/>
    <mergeCell ref="AS60:AU60"/>
    <mergeCell ref="AW60:AY60"/>
    <mergeCell ref="AS59:AU59"/>
    <mergeCell ref="E59:AG60"/>
    <mergeCell ref="AV53:BA53"/>
    <mergeCell ref="AR53:AT53"/>
    <mergeCell ref="AU41:AX41"/>
    <mergeCell ref="AW59:AY59"/>
    <mergeCell ref="AR54:AT54"/>
    <mergeCell ref="AV86:AZ86"/>
    <mergeCell ref="AL59:AL60"/>
    <mergeCell ref="AM78:AR78"/>
    <mergeCell ref="P88:T88"/>
    <mergeCell ref="AA64:AF64"/>
    <mergeCell ref="AA63:AF63"/>
    <mergeCell ref="AM59:AQ59"/>
    <mergeCell ref="AM71:AR71"/>
    <mergeCell ref="T39:Y39"/>
    <mergeCell ref="T56:Y56"/>
    <mergeCell ref="AA56:AF56"/>
    <mergeCell ref="K54:S55"/>
    <mergeCell ref="T50:Z51"/>
    <mergeCell ref="T40:Y40"/>
    <mergeCell ref="C18:J19"/>
    <mergeCell ref="D34:M34"/>
    <mergeCell ref="T37:Y37"/>
    <mergeCell ref="T38:Y38"/>
    <mergeCell ref="N34:S34"/>
    <mergeCell ref="AB90:AF90"/>
    <mergeCell ref="K18:S18"/>
    <mergeCell ref="Z18:Z19"/>
    <mergeCell ref="AA34:AF34"/>
    <mergeCell ref="T34:Y34"/>
    <mergeCell ref="AV96:AZ96"/>
    <mergeCell ref="AV93:AZ93"/>
    <mergeCell ref="AV103:AZ103"/>
    <mergeCell ref="AV110:AZ110"/>
    <mergeCell ref="AM77:AR77"/>
    <mergeCell ref="AV88:AZ88"/>
    <mergeCell ref="AS79:AV79"/>
    <mergeCell ref="AV81:AZ81"/>
    <mergeCell ref="AV82:AZ82"/>
    <mergeCell ref="V92:Z93"/>
    <mergeCell ref="AM68:AR68"/>
    <mergeCell ref="AM69:AR69"/>
    <mergeCell ref="AB91:AF91"/>
    <mergeCell ref="AM74:AR74"/>
    <mergeCell ref="X69:AG70"/>
    <mergeCell ref="AV87:AZ87"/>
    <mergeCell ref="AM75:AR75"/>
    <mergeCell ref="AB92:AF93"/>
    <mergeCell ref="H63:S63"/>
    <mergeCell ref="C64:Z64"/>
    <mergeCell ref="AA65:AF66"/>
    <mergeCell ref="AJ64:AJ65"/>
    <mergeCell ref="AJ70:AJ71"/>
    <mergeCell ref="AM72:AR72"/>
    <mergeCell ref="AM67:AR67"/>
    <mergeCell ref="C69:W70"/>
    <mergeCell ref="AG65:AG66"/>
    <mergeCell ref="C71:W71"/>
    <mergeCell ref="AA62:AF62"/>
    <mergeCell ref="AA58:AF58"/>
    <mergeCell ref="D58:S58"/>
    <mergeCell ref="D57:J57"/>
    <mergeCell ref="K57:S57"/>
    <mergeCell ref="AA61:AF61"/>
    <mergeCell ref="T61:Y61"/>
    <mergeCell ref="D53:J53"/>
    <mergeCell ref="T57:Y57"/>
    <mergeCell ref="T65:Z66"/>
    <mergeCell ref="U58:Y58"/>
    <mergeCell ref="D62:S62"/>
    <mergeCell ref="T62:Y62"/>
    <mergeCell ref="C59:D60"/>
    <mergeCell ref="D56:J56"/>
    <mergeCell ref="U63:Y63"/>
    <mergeCell ref="D61:S61"/>
    <mergeCell ref="D50:J51"/>
    <mergeCell ref="K51:S51"/>
    <mergeCell ref="K53:S53"/>
    <mergeCell ref="D54:J55"/>
    <mergeCell ref="Z54:Z55"/>
    <mergeCell ref="T52:Y52"/>
    <mergeCell ref="K50:S50"/>
    <mergeCell ref="K52:S52"/>
    <mergeCell ref="D52:J52"/>
    <mergeCell ref="T53:Y53"/>
    <mergeCell ref="C48:D49"/>
    <mergeCell ref="E48:AG49"/>
    <mergeCell ref="D47:S47"/>
    <mergeCell ref="C44:C47"/>
    <mergeCell ref="D46:S46"/>
    <mergeCell ref="T46:Z46"/>
    <mergeCell ref="T45:Z45"/>
    <mergeCell ref="D45:S45"/>
    <mergeCell ref="AA46:AF46"/>
    <mergeCell ref="AA44:AF44"/>
    <mergeCell ref="C42:D43"/>
    <mergeCell ref="AA45:AF45"/>
    <mergeCell ref="T44:Z44"/>
    <mergeCell ref="AA16:AF17"/>
    <mergeCell ref="D33:M33"/>
    <mergeCell ref="D35:M39"/>
    <mergeCell ref="T33:Y33"/>
    <mergeCell ref="T18:Y19"/>
    <mergeCell ref="C16:S17"/>
    <mergeCell ref="C28:C41"/>
    <mergeCell ref="T35:Y35"/>
    <mergeCell ref="N30:S30"/>
    <mergeCell ref="N32:S32"/>
    <mergeCell ref="T36:Y36"/>
    <mergeCell ref="D40:M41"/>
    <mergeCell ref="D29:F32"/>
    <mergeCell ref="O35:S35"/>
    <mergeCell ref="O37:S37"/>
    <mergeCell ref="O38:S38"/>
    <mergeCell ref="T30:Y30"/>
    <mergeCell ref="N31:S31"/>
    <mergeCell ref="T31:Y31"/>
    <mergeCell ref="C14:S15"/>
    <mergeCell ref="T14:Z15"/>
    <mergeCell ref="T26:Z27"/>
    <mergeCell ref="D28:M28"/>
    <mergeCell ref="N28:Z28"/>
    <mergeCell ref="C26:D27"/>
    <mergeCell ref="E26:S27"/>
    <mergeCell ref="T16:Y17"/>
    <mergeCell ref="C20:S21"/>
    <mergeCell ref="T20:Z21"/>
    <mergeCell ref="AA14:AG15"/>
    <mergeCell ref="T47:Z47"/>
    <mergeCell ref="AM34:AX34"/>
    <mergeCell ref="AM38:AO38"/>
    <mergeCell ref="AA20:AF21"/>
    <mergeCell ref="AM37:AO37"/>
    <mergeCell ref="AJ22:AJ23"/>
    <mergeCell ref="AS24:AX24"/>
    <mergeCell ref="T22:Z23"/>
    <mergeCell ref="AM10:AX10"/>
    <mergeCell ref="AM11:AR11"/>
    <mergeCell ref="AM12:AR12"/>
    <mergeCell ref="AM21:AX21"/>
    <mergeCell ref="AM13:AR13"/>
    <mergeCell ref="AS11:AX11"/>
    <mergeCell ref="AS12:AX12"/>
    <mergeCell ref="AM16:AU16"/>
    <mergeCell ref="AS13:AX13"/>
    <mergeCell ref="AJ35:AJ39"/>
    <mergeCell ref="AU44:AX44"/>
    <mergeCell ref="AV35:AX35"/>
    <mergeCell ref="AM40:AX40"/>
    <mergeCell ref="AM41:AP41"/>
    <mergeCell ref="AS38:AU38"/>
    <mergeCell ref="AV38:AX38"/>
    <mergeCell ref="AP37:AR37"/>
    <mergeCell ref="AY38:BA38"/>
    <mergeCell ref="AY37:BA37"/>
    <mergeCell ref="AM36:AO36"/>
    <mergeCell ref="AS37:AU37"/>
    <mergeCell ref="AM35:AO35"/>
    <mergeCell ref="AS35:AU35"/>
    <mergeCell ref="AV37:AX37"/>
    <mergeCell ref="AP38:AR38"/>
    <mergeCell ref="AP35:AR35"/>
    <mergeCell ref="AA50:AF51"/>
    <mergeCell ref="AQ42:AT42"/>
    <mergeCell ref="AV36:AX36"/>
    <mergeCell ref="AA47:AG47"/>
    <mergeCell ref="AQ41:AT41"/>
    <mergeCell ref="AJ40:AJ41"/>
    <mergeCell ref="AU42:AX42"/>
    <mergeCell ref="AP36:AR36"/>
    <mergeCell ref="AJ50:AJ51"/>
    <mergeCell ref="AM44:AP44"/>
    <mergeCell ref="AG50:AG51"/>
    <mergeCell ref="AS36:AU36"/>
    <mergeCell ref="AA40:AF41"/>
    <mergeCell ref="AM42:AP42"/>
    <mergeCell ref="AR51:AT51"/>
    <mergeCell ref="AH50:AI52"/>
    <mergeCell ref="AM50:AT50"/>
    <mergeCell ref="AQ44:AT44"/>
    <mergeCell ref="AA35:AF39"/>
    <mergeCell ref="AG35:AG39"/>
    <mergeCell ref="P87:T87"/>
    <mergeCell ref="V88:Z88"/>
    <mergeCell ref="V85:AA85"/>
    <mergeCell ref="J86:O86"/>
    <mergeCell ref="J88:O88"/>
    <mergeCell ref="J87:O87"/>
    <mergeCell ref="V86:Z86"/>
    <mergeCell ref="V87:Z87"/>
    <mergeCell ref="P86:T86"/>
    <mergeCell ref="C92:I93"/>
    <mergeCell ref="C82:I82"/>
    <mergeCell ref="C83:I83"/>
    <mergeCell ref="C84:I84"/>
    <mergeCell ref="D86:I86"/>
    <mergeCell ref="D87:I87"/>
    <mergeCell ref="D88:I88"/>
    <mergeCell ref="C85:C90"/>
    <mergeCell ref="D89:I89"/>
    <mergeCell ref="D90:I90"/>
    <mergeCell ref="AB86:AF86"/>
    <mergeCell ref="AF73:AG73"/>
    <mergeCell ref="C73:W73"/>
    <mergeCell ref="J83:O83"/>
    <mergeCell ref="J84:O84"/>
    <mergeCell ref="AB82:AF82"/>
    <mergeCell ref="J82:O82"/>
    <mergeCell ref="AB80:AG81"/>
    <mergeCell ref="J85:O85"/>
    <mergeCell ref="P85:U85"/>
    <mergeCell ref="P80:U81"/>
    <mergeCell ref="AB85:AG85"/>
    <mergeCell ref="AB84:AF84"/>
    <mergeCell ref="P82:AA82"/>
    <mergeCell ref="AB83:AF83"/>
    <mergeCell ref="BA121:BD121"/>
    <mergeCell ref="BB115:BD115"/>
    <mergeCell ref="BB116:BD116"/>
    <mergeCell ref="AV130:AZ130"/>
    <mergeCell ref="AV128:AZ128"/>
    <mergeCell ref="AV126:AZ126"/>
    <mergeCell ref="BB123:BD123"/>
    <mergeCell ref="AV124:AZ124"/>
    <mergeCell ref="BB124:BD124"/>
    <mergeCell ref="AV125:AZ125"/>
    <mergeCell ref="AV129:AZ129"/>
    <mergeCell ref="C3:D3"/>
    <mergeCell ref="AM120:AM121"/>
    <mergeCell ref="V91:Z91"/>
    <mergeCell ref="N35:N41"/>
    <mergeCell ref="D85:I85"/>
    <mergeCell ref="J89:O89"/>
    <mergeCell ref="P89:T89"/>
    <mergeCell ref="C91:I91"/>
    <mergeCell ref="P84:AA84"/>
    <mergeCell ref="AV127:AZ127"/>
    <mergeCell ref="J91:O91"/>
    <mergeCell ref="V90:Z90"/>
    <mergeCell ref="J90:O90"/>
    <mergeCell ref="P92:T93"/>
    <mergeCell ref="AV100:AZ100"/>
    <mergeCell ref="AV116:AZ116"/>
    <mergeCell ref="AV97:AZ97"/>
    <mergeCell ref="AV121:AZ121"/>
    <mergeCell ref="AV106:AZ106"/>
    <mergeCell ref="O39:S39"/>
    <mergeCell ref="O40:S40"/>
    <mergeCell ref="O41:S41"/>
    <mergeCell ref="V80:AA81"/>
    <mergeCell ref="P83:AA83"/>
    <mergeCell ref="S77:AE77"/>
    <mergeCell ref="AD79:AG79"/>
    <mergeCell ref="X73:AE73"/>
    <mergeCell ref="C80:O81"/>
    <mergeCell ref="AA52:AF52"/>
    <mergeCell ref="BA120:BD120"/>
    <mergeCell ref="AV83:AZ83"/>
    <mergeCell ref="AV85:AZ85"/>
    <mergeCell ref="AV117:AZ117"/>
    <mergeCell ref="BO109:BR109"/>
    <mergeCell ref="BO110:BR110"/>
    <mergeCell ref="AV120:AZ120"/>
    <mergeCell ref="AV118:AZ118"/>
    <mergeCell ref="AV119:AZ119"/>
    <mergeCell ref="AV99:AZ99"/>
    <mergeCell ref="AM51:AQ51"/>
    <mergeCell ref="BB53:BG53"/>
    <mergeCell ref="AV112:AZ112"/>
    <mergeCell ref="AV113:AZ113"/>
    <mergeCell ref="AS77:AV77"/>
    <mergeCell ref="AV101:AZ101"/>
    <mergeCell ref="BB55:BS55"/>
    <mergeCell ref="BH53:BM53"/>
    <mergeCell ref="BH54:BM54"/>
    <mergeCell ref="AV54:BA54"/>
    <mergeCell ref="AV50:BS50"/>
    <mergeCell ref="BN51:BS52"/>
    <mergeCell ref="BH51:BM52"/>
    <mergeCell ref="BN53:BS53"/>
    <mergeCell ref="BN54:BS54"/>
    <mergeCell ref="AV107:AZ107"/>
    <mergeCell ref="BJ103:BN103"/>
    <mergeCell ref="BB54:BG54"/>
    <mergeCell ref="AV51:BA52"/>
    <mergeCell ref="BB51:BG52"/>
    <mergeCell ref="AL6:BS6"/>
    <mergeCell ref="AS72:AV72"/>
    <mergeCell ref="AS73:AV73"/>
    <mergeCell ref="AS74:AV74"/>
    <mergeCell ref="AS75:AV75"/>
    <mergeCell ref="AS76:AV76"/>
    <mergeCell ref="AS67:AV67"/>
    <mergeCell ref="AS68:AV68"/>
    <mergeCell ref="AS69:AV69"/>
    <mergeCell ref="AY44:BB44"/>
    <mergeCell ref="AF72:AG72"/>
    <mergeCell ref="BD92:BM92"/>
    <mergeCell ref="AH72:AI72"/>
    <mergeCell ref="AH88:AI88"/>
    <mergeCell ref="AS78:AV78"/>
    <mergeCell ref="AV105:AZ105"/>
    <mergeCell ref="AV102:AZ102"/>
    <mergeCell ref="AB89:AF89"/>
    <mergeCell ref="AB88:AF88"/>
    <mergeCell ref="AB87:AF87"/>
    <mergeCell ref="J92:O93"/>
    <mergeCell ref="P91:T91"/>
    <mergeCell ref="P90:T90"/>
    <mergeCell ref="V89:Z89"/>
    <mergeCell ref="BA109:BI109"/>
    <mergeCell ref="BA110:BI110"/>
    <mergeCell ref="AV109:AZ109"/>
    <mergeCell ref="AV104:AZ104"/>
    <mergeCell ref="AV95:AZ95"/>
    <mergeCell ref="AV94:AZ94"/>
    <mergeCell ref="BJ110:BN110"/>
    <mergeCell ref="BJ99:BN99"/>
    <mergeCell ref="BJ100:BN100"/>
    <mergeCell ref="BJ101:BN101"/>
    <mergeCell ref="BJ102:BN102"/>
    <mergeCell ref="BJ104:BN104"/>
    <mergeCell ref="BJ106:BN106"/>
    <mergeCell ref="BJ107:BN107"/>
    <mergeCell ref="BJ109:BN109"/>
  </mergeCells>
  <dataValidations count="8">
    <dataValidation type="list" allowBlank="1" showInputMessage="1" showErrorMessage="1" sqref="K19:S19">
      <formula1>$AM$17:$AM$19</formula1>
    </dataValidation>
    <dataValidation type="whole" operator="greaterThanOrEqual" allowBlank="1" showInputMessage="1" showErrorMessage="1" sqref="T16:Y19 T29:T32 T33:Y41 U29:Y30 T52:Y57 U58:Y58 T61:Y62 U63:Y63 X71 X73:AE75">
      <formula1>0</formula1>
    </dataValidation>
    <dataValidation type="list" allowBlank="1" showInputMessage="1" showErrorMessage="1" sqref="T46:Z46">
      <formula1>$AU$45:$AU$47</formula1>
    </dataValidation>
    <dataValidation type="list" allowBlank="1" showInputMessage="1" showErrorMessage="1" sqref="T45:Z45">
      <formula1>$AQ$45:$AQ$46</formula1>
    </dataValidation>
    <dataValidation type="list" allowBlank="1" showInputMessage="1" showErrorMessage="1" sqref="T44:Z44">
      <formula1>$AM$45:$AM$48</formula1>
    </dataValidation>
    <dataValidation type="list" allowBlank="1" showInputMessage="1" showErrorMessage="1" sqref="T50:Z51">
      <formula1>$AM$52:$AM$54</formula1>
    </dataValidation>
    <dataValidation type="list" allowBlank="1" showInputMessage="1" showErrorMessage="1" sqref="T47:Z47">
      <formula1>$AY$45:$AY$46</formula1>
    </dataValidation>
    <dataValidation type="list" operator="greaterThanOrEqual" allowBlank="1" showInputMessage="1" showErrorMessage="1" sqref="X72:AE72">
      <formula1>$BD$93:$BD$94</formula1>
    </dataValidation>
  </dataValidations>
  <hyperlinks>
    <hyperlink ref="S77" r:id="rId1" display="http://www.city.takasaki.gunma.jp/docs/2014011601697/"/>
  </hyperlinks>
  <printOptions/>
  <pageMargins left="0.75" right="0.75" top="1" bottom="1" header="0.5" footer="0.5"/>
  <pageSetup horizontalDpi="600" verticalDpi="600" orientation="portrait" paperSize="9" r:id="rId4"/>
  <ignoredErrors>
    <ignoredError sqref="AB85 P85 V85 C26" numberStoredAsText="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神宮大</dc:creator>
  <cp:keywords/>
  <dc:description/>
  <cp:lastModifiedBy>takasaki</cp:lastModifiedBy>
  <cp:lastPrinted>2015-11-05T06:50:03Z</cp:lastPrinted>
  <dcterms:created xsi:type="dcterms:W3CDTF">2015-05-19T09:24:17Z</dcterms:created>
  <dcterms:modified xsi:type="dcterms:W3CDTF">2019-11-22T07:35:57Z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